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60923434c1845ab" /></Relationships>
</file>

<file path=xl/workbook.xml><?xml version="1.0" encoding="utf-8"?>
<x:workbook xmlns:x="http://schemas.openxmlformats.org/spreadsheetml/2006/main">
  <x:sheets>
    <x:sheet xmlns:r="http://schemas.openxmlformats.org/officeDocument/2006/relationships" name="Dashboard" sheetId="1" r:id="R25ee9611e186470c"/>
    <x:sheet xmlns:r="http://schemas.openxmlformats.org/officeDocument/2006/relationships" name="Inputs" sheetId="2" r:id="Rb5420bdebe2c48f6"/>
    <x:sheet xmlns:r="http://schemas.openxmlformats.org/officeDocument/2006/relationships" name="Property Model" sheetId="3" r:id="R6b1fc0d9a0f54463"/>
    <x:sheet xmlns:r="http://schemas.openxmlformats.org/officeDocument/2006/relationships" name="Annual Projection" sheetId="4" r:id="R324b304075df4d0b"/>
    <x:sheet xmlns:r="http://schemas.openxmlformats.org/officeDocument/2006/relationships" name="Investor Returns" sheetId="5" r:id="R4b89507b53a645d4"/>
    <x:sheet xmlns:r="http://schemas.openxmlformats.org/officeDocument/2006/relationships" name="Checks" sheetId="6" r:id="R6c3aaf463e334ffe"/>
    <x:sheet xmlns:r="http://schemas.openxmlformats.org/officeDocument/2006/relationships" name="Read Me" sheetId="7" r:id="R5368008311d04bbe"/>
  </x:sheets>
  <x:calcPr calcId="0" calcMode="auto" fullCalcOnLoad="1" forceFullCalc="1" calcOnSave="1" fullPrecision="1" iterate="0"/>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quot;$&quot;#,##0;(&quot;$&quot;#,##0);&quot;–&quot;"/>
    <x:numFmt numFmtId="201" formatCode="0.0%;(0.0%);&quot;–&quot;"/>
    <x:numFmt numFmtId="202" formatCode="0.00%;(0.00%);&quot;–&quot;"/>
    <x:numFmt numFmtId="203" formatCode="0"/>
    <x:numFmt numFmtId="204" formatCode="&quot;$&quot;#,##0.00;(&quot;$&quot;#,##0.00);&quot;–&quot;"/>
    <x:numFmt numFmtId="205" formatCode="0.00&quot;x&quot;"/>
    <x:numFmt numFmtId="206" formatCode="@"/>
    <x:numFmt numFmtId="207" formatCode=";;;"/>
    <x:numFmt numFmtId="208" formatCode="0.00;(0.00);0.00"/>
  </x:numFmts>
  <x:fonts count="13">
    <x:font>
      <x:sz val="11"/>
      <x:name val="Carlito"/>
    </x:font>
    <x:font>
      <x:sz val="10"/>
      <x:color rgb="FF202D3A"/>
      <x:name val="Arial"/>
    </x:font>
    <x:font>
      <x:b/>
      <x:sz val="16"/>
      <x:color rgb="FF172E46"/>
      <x:name val="Arial"/>
    </x:font>
    <x:font>
      <x:sz val="10"/>
      <x:color rgb="FF596B7A"/>
      <x:name val="Arial"/>
    </x:font>
    <x:font>
      <x:b/>
      <x:sz val="10"/>
      <x:color rgb="FFFFFFFF"/>
      <x:name val="Arial"/>
    </x:font>
    <x:font>
      <x:sz val="10"/>
      <x:color rgb="FF155BA6"/>
      <x:name val="Arial"/>
    </x:font>
    <x:font>
      <x:sz val="10"/>
      <x:color rgb="FF187342"/>
      <x:name val="Arial"/>
    </x:font>
    <x:font>
      <x:i/>
      <x:sz val="10"/>
      <x:color rgb="FF202D3A"/>
      <x:name val="Arial"/>
    </x:font>
    <x:font>
      <x:i/>
      <x:sz val="10"/>
      <x:color rgb="FF187342"/>
      <x:name val="Arial"/>
    </x:font>
    <x:font>
      <x:b/>
      <x:sz val="10"/>
      <x:color rgb="FF202D3A"/>
      <x:name val="Arial"/>
    </x:font>
    <x:font>
      <x:b/>
      <x:i/>
      <x:sz val="10"/>
      <x:color rgb="FF202D3A"/>
      <x:name val="Arial"/>
    </x:font>
    <x:font>
      <x:b/>
      <x:i/>
      <x:sz val="10"/>
      <x:color rgb="FF187342"/>
      <x:name val="Arial"/>
    </x:font>
    <x:font>
      <x:b/>
      <x:sz val="10"/>
      <x:color rgb="FF187342"/>
      <x:name val="Arial"/>
    </x:font>
  </x:fonts>
  <x:fills count="5">
    <x:fill>
      <x:patternFill patternType="none"/>
    </x:fill>
    <x:fill>
      <x:patternFill patternType="gray125"/>
    </x:fill>
    <x:fill>
      <x:patternFill patternType="solid">
        <x:fgColor rgb="FF172E46"/>
      </x:patternFill>
    </x:fill>
    <x:fill>
      <x:patternFill patternType="solid">
        <x:fgColor rgb="FFFFF3D6"/>
      </x:patternFill>
    </x:fill>
    <x:fill>
      <x:patternFill patternType="solid">
        <x:fgColor rgb="FFF0F4F7"/>
      </x:patternFill>
    </x:fill>
  </x:fills>
  <x:borders count="6">
    <x:border>
      <x:left/>
      <x:right/>
      <x:top/>
      <x:bottom/>
      <x:diagonal/>
    </x:border>
    <x:border>
      <x:left/>
      <x:right/>
      <x:top/>
      <x:bottom style="thin">
        <x:color rgb="FFB79453"/>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x:top style="thin">
        <x:color rgb="FFCCD5DE"/>
      </x:top>
      <x:bottom/>
      <x:diagonal/>
    </x:border>
  </x:borders>
  <x:cellStyleXfs count="1">
    <x:xf numFmtId="0" fontId="0" fillId="0" borderId="0"/>
  </x:cellStyleXfs>
  <x:cellXfs count="8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4" fillId="2" borderId="4" xfId="0" applyNumberFormat="1" applyFont="1" applyFill="1" applyBorder="1" applyAlignment="1">
      <x:alignment vertical="center"/>
    </x:xf>
    <x:xf numFmtId="0" fontId="4" fillId="2" borderId="2" xfId="0" applyNumberFormat="1" applyFont="1" applyFill="1" applyBorder="1" applyAlignment="1">
      <x:alignment vertical="center" wrapText="1"/>
    </x:xf>
    <x:xf numFmtId="0" fontId="4" fillId="2" borderId="3" xfId="0" applyNumberFormat="1" applyFont="1" applyFill="1" applyBorder="1" applyAlignment="1">
      <x:alignment vertical="center" wrapText="1"/>
    </x:xf>
    <x:xf numFmtId="0" fontId="4" fillId="2" borderId="4" xfId="0" applyNumberFormat="1" applyFont="1" applyFill="1" applyBorder="1" applyAlignment="1">
      <x:alignment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0" xfId="0" applyNumberFormat="1" applyFont="1" applyFill="1" applyBorder="1" applyAlignment="1">
      <x:alignment horizontal="left" vertical="center"/>
    </x:xf>
    <x:xf numFmtId="0" fontId="5" fillId="3" borderId="0" xfId="0" applyNumberFormat="1" applyFont="1" applyFill="1" applyBorder="1" applyAlignment="1">
      <x:alignment horizontal="right" vertical="center"/>
    </x:xf>
    <x:xf numFmtId="200" fontId="5" fillId="3" borderId="0" xfId="0" applyNumberFormat="1" applyFont="1" applyFill="1" applyBorder="1" applyAlignment="1">
      <x:alignment horizontal="right" vertical="center"/>
    </x:xf>
    <x:xf numFmtId="201" fontId="5" fillId="3" borderId="0" xfId="0" applyNumberFormat="1" applyFont="1" applyFill="1" applyBorder="1" applyAlignment="1">
      <x:alignment horizontal="right" vertical="center"/>
    </x:xf>
    <x:xf numFmtId="202" fontId="5" fillId="3" borderId="0" xfId="0" applyNumberFormat="1" applyFont="1" applyFill="1" applyBorder="1" applyAlignment="1">
      <x:alignment horizontal="right" vertical="center"/>
    </x:xf>
    <x:xf numFmtId="203" fontId="5" fillId="3" borderId="0" xfId="0" applyNumberFormat="1" applyFont="1" applyFill="1" applyBorder="1" applyAlignment="1">
      <x:alignment horizontal="right" vertical="center"/>
    </x:xf>
    <x:xf numFmtId="204" fontId="5" fillId="3" borderId="0" xfId="0" applyNumberFormat="1" applyFont="1" applyFill="1" applyBorder="1" applyAlignment="1">
      <x:alignment horizontal="right" vertical="center"/>
    </x:xf>
    <x:xf numFmtId="205" fontId="5" fillId="3" borderId="0" xfId="0" applyNumberFormat="1" applyFont="1" applyFill="1" applyBorder="1" applyAlignment="1">
      <x:alignment horizontal="right" vertical="center"/>
    </x:xf>
    <x:xf numFmtId="206" fontId="1" fillId="0" borderId="0" xfId="0" applyNumberFormat="1" applyFont="1" applyFill="1" applyBorder="1" applyAlignment="1">
      <x:alignment vertical="center"/>
    </x:xf>
    <x:xf numFmtId="206" fontId="1" fillId="0" borderId="0" xfId="0" applyNumberFormat="1" applyFont="1" applyFill="1" applyBorder="1" applyAlignment="1">
      <x:alignment horizontal="right" vertical="center"/>
    </x:xf>
    <x:xf numFmtId="0" fontId="1" fillId="0" borderId="0" xfId="0" applyNumberFormat="1" applyFont="1" applyFill="1" applyBorder="1" applyAlignment="1">
      <x:alignment vertical="center" wrapText="1"/>
    </x:xf>
    <x:xf numFmtId="0" fontId="6"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0" fontId="6" fillId="0" borderId="0" xfId="0" applyNumberFormat="1" applyFont="1" applyFill="1" applyBorder="1" applyAlignment="1">
      <x:alignment horizontal="right" vertical="center"/>
    </x:xf>
    <x:xf numFmtId="200" fontId="1" fillId="0" borderId="0" xfId="0" applyNumberFormat="1" applyFont="1" applyFill="1" applyBorder="1" applyAlignment="1">
      <x:alignment vertical="center"/>
    </x:xf>
    <x:xf numFmtId="200" fontId="1" fillId="0" borderId="0" xfId="0" applyNumberFormat="1" applyFont="1" applyFill="1" applyBorder="1" applyAlignment="1">
      <x:alignment horizontal="right" vertical="center"/>
    </x:xf>
    <x:xf numFmtId="201" fontId="1" fillId="0" borderId="0" xfId="0" applyNumberFormat="1" applyFont="1" applyFill="1" applyBorder="1" applyAlignment="1">
      <x:alignment vertical="center"/>
    </x:xf>
    <x:xf numFmtId="201" fontId="1" fillId="0" borderId="0" xfId="0" applyNumberFormat="1" applyFont="1" applyFill="1" applyBorder="1" applyAlignment="1">
      <x:alignment horizontal="right" vertical="center"/>
    </x:xf>
    <x:xf numFmtId="0" fontId="7" fillId="0" borderId="0" xfId="0" applyNumberFormat="1" applyFont="1" applyFill="1" applyBorder="1" applyAlignment="1">
      <x:alignment vertical="center"/>
    </x:xf>
    <x:xf numFmtId="201" fontId="7" fillId="0" borderId="0" xfId="0" applyNumberFormat="1" applyFont="1" applyFill="1" applyBorder="1" applyAlignment="1">
      <x:alignment horizontal="right" vertical="center"/>
    </x:xf>
    <x:xf numFmtId="205" fontId="1" fillId="0" borderId="0" xfId="0" applyNumberFormat="1" applyFont="1" applyFill="1" applyBorder="1" applyAlignment="1">
      <x:alignment vertical="center"/>
    </x:xf>
    <x:xf numFmtId="205" fontId="1" fillId="0" borderId="0" xfId="0" applyNumberFormat="1" applyFont="1" applyFill="1" applyBorder="1" applyAlignment="1">
      <x:alignment horizontal="right" vertical="center"/>
    </x:xf>
    <x:xf numFmtId="205" fontId="7" fillId="0" borderId="0" xfId="0" applyNumberFormat="1" applyFont="1" applyFill="1" applyBorder="1" applyAlignment="1">
      <x:alignment horizontal="right" vertical="center"/>
    </x:xf>
    <x:xf numFmtId="201" fontId="6" fillId="0" borderId="0" xfId="0" applyNumberFormat="1" applyFont="1" applyFill="1" applyBorder="1" applyAlignment="1">
      <x:alignment vertical="center"/>
    </x:xf>
    <x:xf numFmtId="201" fontId="6" fillId="0" borderId="0" xfId="0" applyNumberFormat="1" applyFont="1" applyFill="1" applyBorder="1" applyAlignment="1">
      <x:alignment horizontal="right" vertical="center"/>
    </x:xf>
    <x:xf numFmtId="201" fontId="8" fillId="0" borderId="0" xfId="0" applyNumberFormat="1" applyFont="1" applyFill="1" applyBorder="1" applyAlignment="1">
      <x:alignment horizontal="right" vertical="center"/>
    </x:xf>
    <x:xf numFmtId="203" fontId="1" fillId="0" borderId="0" xfId="0" applyNumberFormat="1" applyFont="1" applyFill="1" applyBorder="1" applyAlignment="1">
      <x:alignment vertical="center"/>
    </x:xf>
    <x:xf numFmtId="203" fontId="1" fillId="0" borderId="0" xfId="0" applyNumberFormat="1" applyFont="1" applyFill="1" applyBorder="1" applyAlignment="1">
      <x:alignment horizontal="right" vertical="center"/>
    </x:xf>
    <x:xf numFmtId="0" fontId="1" fillId="4" borderId="0" xfId="0" applyNumberFormat="1" applyFont="1" applyFill="1" applyBorder="1" applyAlignment="1">
      <x:alignment vertical="center"/>
    </x:xf>
    <x:xf numFmtId="200" fontId="1" fillId="4" borderId="0" xfId="0" applyNumberFormat="1" applyFont="1" applyFill="1" applyBorder="1" applyAlignment="1">
      <x:alignment horizontal="right" vertical="center"/>
    </x:xf>
    <x:xf numFmtId="0" fontId="9" fillId="4" borderId="0" xfId="0" applyNumberFormat="1" applyFont="1" applyFill="1" applyBorder="1" applyAlignment="1">
      <x:alignment vertical="center"/>
    </x:xf>
    <x:xf numFmtId="200" fontId="9" fillId="4" borderId="0" xfId="0" applyNumberFormat="1" applyFont="1" applyFill="1" applyBorder="1" applyAlignment="1">
      <x:alignment horizontal="right" vertical="center"/>
    </x:xf>
    <x:xf numFmtId="0" fontId="9" fillId="4" borderId="5" xfId="0" applyNumberFormat="1" applyFont="1" applyFill="1" applyBorder="1" applyAlignment="1">
      <x:alignment vertical="center"/>
    </x:xf>
    <x:xf numFmtId="200" fontId="9" fillId="4" borderId="5" xfId="0" applyNumberFormat="1" applyFont="1" applyFill="1" applyBorder="1" applyAlignment="1">
      <x:alignment horizontal="right" vertical="center"/>
    </x:xf>
    <x:xf numFmtId="0" fontId="7" fillId="4" borderId="0" xfId="0" applyNumberFormat="1" applyFont="1" applyFill="1" applyBorder="1" applyAlignment="1">
      <x:alignment vertical="center"/>
    </x:xf>
    <x:xf numFmtId="201" fontId="8" fillId="4" borderId="0" xfId="0" applyNumberFormat="1" applyFont="1" applyFill="1" applyBorder="1" applyAlignment="1">
      <x:alignment horizontal="right" vertical="center"/>
    </x:xf>
    <x:xf numFmtId="0" fontId="10" fillId="4" borderId="0" xfId="0" applyNumberFormat="1" applyFont="1" applyFill="1" applyBorder="1" applyAlignment="1">
      <x:alignment vertical="center"/>
    </x:xf>
    <x:xf numFmtId="201" fontId="11" fillId="4" borderId="0" xfId="0" applyNumberFormat="1" applyFont="1" applyFill="1" applyBorder="1" applyAlignment="1">
      <x:alignment horizontal="right" vertical="center"/>
    </x:xf>
    <x:xf numFmtId="0" fontId="10" fillId="4" borderId="5" xfId="0" applyNumberFormat="1" applyFont="1" applyFill="1" applyBorder="1" applyAlignment="1">
      <x:alignment vertical="center"/>
    </x:xf>
    <x:xf numFmtId="201" fontId="11" fillId="4" borderId="5" xfId="0" applyNumberFormat="1" applyFont="1" applyFill="1" applyBorder="1" applyAlignment="1">
      <x:alignment horizontal="right" vertical="center"/>
    </x:xf>
    <x:xf numFmtId="208"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6" fillId="0" borderId="0" xfId="0" applyNumberFormat="1" applyFont="1" applyFill="1" applyBorder="1" applyAlignment="1">
      <x:alignment horizontal="right" vertical="center"/>
    </x:xf>
    <x:xf numFmtId="206" fontId="6" fillId="0" borderId="0" xfId="0" applyNumberFormat="1" applyFont="1" applyFill="1" applyBorder="1" applyAlignment="1">
      <x:alignment vertical="center"/>
    </x:xf>
    <x:xf numFmtId="206" fontId="6"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5" fontId="6" fillId="0" borderId="0" xfId="0" applyNumberFormat="1" applyFont="1" applyFill="1" applyBorder="1" applyAlignment="1">
      <x:alignment horizontal="right" vertical="center"/>
    </x:xf>
    <x:xf numFmtId="205" fontId="8" fillId="0" borderId="0" xfId="0" applyNumberFormat="1" applyFont="1" applyFill="1" applyBorder="1" applyAlignment="1">
      <x:alignment horizontal="right" vertical="center"/>
    </x:xf>
    <x:xf numFmtId="200" fontId="6" fillId="4" borderId="0" xfId="0" applyNumberFormat="1" applyFont="1" applyFill="1" applyBorder="1" applyAlignment="1">
      <x:alignment horizontal="right" vertical="center"/>
    </x:xf>
    <x:xf numFmtId="200" fontId="12" fillId="4" borderId="0" xfId="0" applyNumberFormat="1" applyFont="1" applyFill="1" applyBorder="1" applyAlignment="1">
      <x:alignment horizontal="right" vertical="center"/>
    </x:xf>
    <x:xf numFmtId="200" fontId="12" fillId="4" borderId="5" xfId="0" applyNumberFormat="1" applyFont="1" applyFill="1" applyBorder="1" applyAlignment="1">
      <x:alignment horizontal="right" vertical="center"/>
    </x:xf>
    <x:xf numFmtId="0" fontId="1" fillId="0" borderId="0" xfId="0" applyNumberFormat="1" applyFont="1" applyFill="1" applyBorder="1" applyAlignment="1">
      <x:alignment horizontal="right" vertical="center"/>
    </x:xf>
    <x:xf numFmtId="202" fontId="6" fillId="0" borderId="0" xfId="0" applyNumberFormat="1" applyFont="1" applyFill="1" applyBorder="1" applyAlignment="1">
      <x:alignment vertical="center"/>
    </x:xf>
    <x:xf numFmtId="208" fontId="6" fillId="0" borderId="0" xfId="0" applyNumberFormat="1" applyFont="1" applyFill="1" applyBorder="1" applyAlignment="1">
      <x:alignment vertical="center"/>
    </x:xf>
    <x:xf numFmtId="201" fontId="10" fillId="4" borderId="5" xfId="0" applyNumberFormat="1" applyFont="1" applyFill="1" applyBorder="1" applyAlignment="1">
      <x:alignment horizontal="right" vertical="center"/>
    </x:xf>
    <x:xf numFmtId="0" fontId="3" fillId="0" borderId="1" xfId="0" applyNumberFormat="1" applyFont="1" applyFill="1" applyBorder="1" applyAlignment="1">
      <x:alignment vertical="center"/>
    </x:xf>
    <x:xf numFmtId="0" fontId="3" fillId="0" borderId="1" xfId="0" applyNumberFormat="1" applyFont="1" applyFill="1" applyBorder="1" applyAlignment="1">
      <x:alignment vertical="center" wrapText="1"/>
    </x:xf>
    <x:xf numFmtId="0" fontId="12" fillId="0" borderId="0" xfId="0" applyNumberFormat="1" applyFont="1" applyFill="1" applyBorder="1" applyAlignment="1">
      <x:alignment vertical="center"/>
    </x:xf>
    <x:xf numFmtId="203" fontId="6" fillId="0" borderId="0" xfId="0" applyNumberFormat="1" applyFont="1" applyFill="1" applyBorder="1" applyAlignment="1">
      <x:alignment vertical="center"/>
    </x:xf>
    <x:xf numFmtId="0" fontId="6" fillId="0" borderId="0" xfId="0" applyNumberFormat="1" applyFont="1" applyFill="1" applyBorder="1" applyAlignment="1">
      <x:alignment horizontal="left" vertical="center"/>
    </x:xf>
    <x:xf numFmtId="0" fontId="9" fillId="0" borderId="0" xfId="0" applyNumberFormat="1" applyFont="1" applyFill="1" applyBorder="1" applyAlignment="1">
      <x:alignment vertical="center"/>
    </x:xf>
    <x:xf numFmtId="0" fontId="9" fillId="2" borderId="0" xfId="0" applyNumberFormat="1" applyFont="1" applyFill="1" applyBorder="1" applyAlignment="1">
      <x:alignment vertical="center"/>
    </x:xf>
    <x:xf numFmtId="0" fontId="1" fillId="0" borderId="0" xfId="0" applyNumberFormat="1" applyFont="1" applyFill="1" applyBorder="1" applyAlignment="1">
      <x:alignment horizontal="left" vertical="center"/>
    </x:xf>
    <x:xf numFmtId="208" fontId="6" fillId="0" borderId="0" xfId="0" applyNumberFormat="1" applyFont="1" applyFill="1" applyBorder="1" applyAlignment="1">
      <x:alignment horizontal="right" vertical="center"/>
    </x:xf>
    <x:xf numFmtId="208" fontId="1" fillId="0" borderId="0" xfId="0" applyNumberFormat="1" applyFont="1" applyFill="1" applyBorder="1" applyAlignment="1">
      <x:alignment horizontal="right" vertical="center"/>
    </x:xf>
  </x:cellXfs>
  <x:cellStyles count="1">
    <x:cellStyle name="Normal" xfId="0"/>
  </x:cellStyles>
  <x:dxfs count="16">
    <x:dxf>
      <x:font>
        <x:b/>
        <x:color rgb="FFA42D31"/>
      </x:font>
      <x:fill>
        <x:patternFill patternType="solid">
          <x:bgColor rgb="FFFBEAED"/>
        </x:patternFill>
      </x:fill>
    </x:dxf>
    <x:dxf>
      <x:font>
        <x:color rgb="FF8A5A0A"/>
      </x:font>
      <x:fill>
        <x:patternFill patternType="solid">
          <x:bgColor rgb="FFFFF1D4"/>
        </x:patternFill>
      </x:fill>
    </x:dxf>
    <x:dxf>
      <x:font>
        <x:color rgb="FF276A4A"/>
      </x:font>
      <x:fill>
        <x:patternFill patternType="solid">
          <x:bgColor rgb="FFEAF4ED"/>
        </x:patternFill>
      </x:fill>
    </x:dxf>
    <x:dxf>
      <x:numFmt numFmtId="207" formatCode=";;;"/>
    </x:dxf>
    <x:dxf>
      <x:font>
        <x:color rgb="FFA42D31"/>
      </x:font>
      <x:fill>
        <x:patternFill patternType="solid">
          <x:bgColor rgb="FFFBEAED"/>
        </x:patternFill>
      </x:fill>
    </x:dxf>
    <x:dxf>
      <x:font>
        <x:b/>
        <x:color rgb="FF8A5A0A"/>
      </x:font>
      <x:fill>
        <x:patternFill patternType="solid">
          <x:bgColor rgb="FFFFF1D4"/>
        </x:patternFill>
      </x:fill>
    </x:dxf>
    <x:dxf>
      <x:font>
        <x:color rgb="FFA42D31"/>
      </x:font>
      <x:fill>
        <x:patternFill patternType="solid">
          <x:bgColor rgb="FFFBEAED"/>
        </x:patternFill>
      </x:fill>
    </x:dxf>
    <x:dxf>
      <x:font>
        <x:b/>
        <x:color rgb="FFA42D31"/>
      </x:font>
      <x:fill>
        <x:patternFill patternType="solid">
          <x:bgColor rgb="FFFBEAED"/>
        </x:patternFill>
      </x:fill>
    </x:dxf>
    <x:dxf>
      <x:font>
        <x:color rgb="FF8A5A0A"/>
      </x:font>
      <x:fill>
        <x:patternFill patternType="solid">
          <x:bgColor rgb="FFFFF1D4"/>
        </x:patternFill>
      </x:fill>
    </x:dxf>
    <x:dxf>
      <x:font>
        <x:color rgb="FF276A4A"/>
      </x:font>
      <x:fill>
        <x:patternFill patternType="solid">
          <x:bgColor rgb="FFEAF4ED"/>
        </x:patternFill>
      </x:fill>
    </x:dxf>
    <x:dxf>
      <x:numFmt numFmtId="207" formatCode=";;;"/>
    </x:dxf>
    <x:dxf>
      <x:font>
        <x:b/>
        <x:color rgb="FFA42D31"/>
      </x:font>
      <x:fill>
        <x:patternFill patternType="solid">
          <x:bgColor rgb="FFFBEAED"/>
        </x:patternFill>
      </x:fill>
    </x:dxf>
    <x:dxf>
      <x:font>
        <x:color rgb="FF8A5A0A"/>
      </x:font>
      <x:fill>
        <x:patternFill patternType="solid">
          <x:bgColor rgb="FFFFF1D4"/>
        </x:patternFill>
      </x:fill>
    </x:dxf>
    <x:dxf>
      <x:font>
        <x:color rgb="FF276A4A"/>
      </x:font>
      <x:fill>
        <x:patternFill patternType="solid">
          <x:bgColor rgb="FFEAF4ED"/>
        </x:patternFill>
      </x:fill>
    </x:dxf>
    <x:dxf>
      <x:font>
        <x:b/>
        <x:color rgb="FFA42D31"/>
      </x:font>
      <x:fill>
        <x:patternFill patternType="solid">
          <x:bgColor rgb="FFFBEAED"/>
        </x:patternFill>
      </x:fill>
    </x:dxf>
    <x:dxf>
      <x:font>
        <x:b/>
        <x:color rgb="FFA42D31"/>
      </x:font>
      <x:fill>
        <x:patternFill patternType="solid">
          <x:bgColor rgb="FFFBEAE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5399eb431f04382" /><Relationship Type="http://schemas.openxmlformats.org/officeDocument/2006/relationships/theme" Target="/xl/theme/theme1.xml" Id="R2bd47f0fbb514034" /><Relationship Type="http://schemas.openxmlformats.org/officeDocument/2006/relationships/sharedStrings" Target="/xl/sharedStrings.xml" Id="R1e12a4407a2e4f90" /><Relationship Type="http://schemas.openxmlformats.org/officeDocument/2006/relationships/worksheet" Target="/xl/worksheets/sheet1.xml" Id="R25ee9611e186470c" /><Relationship Type="http://schemas.openxmlformats.org/officeDocument/2006/relationships/worksheet" Target="/xl/worksheets/sheet2.xml" Id="Rb5420bdebe2c48f6" /><Relationship Type="http://schemas.openxmlformats.org/officeDocument/2006/relationships/worksheet" Target="/xl/worksheets/sheet3.xml" Id="R6b1fc0d9a0f54463" /><Relationship Type="http://schemas.openxmlformats.org/officeDocument/2006/relationships/worksheet" Target="/xl/worksheets/sheet4.xml" Id="R324b304075df4d0b" /><Relationship Type="http://schemas.openxmlformats.org/officeDocument/2006/relationships/worksheet" Target="/xl/worksheets/sheet5.xml" Id="R4b89507b53a645d4" /><Relationship Type="http://schemas.openxmlformats.org/officeDocument/2006/relationships/worksheet" Target="/xl/worksheets/sheet6.xml" Id="R6c3aaf463e334ffe" /><Relationship Type="http://schemas.openxmlformats.org/officeDocument/2006/relationships/worksheet" Target="/xl/worksheets/sheet7.xml" Id="R5368008311d04bb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2E46"/>
  </x:sheetPr>
  <x:sheetViews>
    <x:sheetView showGridLines="0" workbookViewId="0"/>
  </x:sheetViews>
  <x:sheetFormatPr defaultRowHeight="15"/>
  <x:cols>
    <x:col min="1" max="1" width="2.200000047683716" hidden="0" customWidth="1"/>
    <x:col min="2" max="2" width="2.200000047683716" hidden="0" customWidth="1"/>
    <x:col min="3" max="3" width="39" hidden="0" customWidth="1"/>
    <x:col min="4" max="4" width="2" hidden="0" customWidth="1"/>
    <x:col min="5" max="5" width="20" hidden="0" customWidth="1"/>
    <x:col min="6" max="6" width="3" hidden="0" customWidth="1"/>
    <x:col min="7" max="7" width="39" hidden="0" customWidth="1"/>
    <x:col min="8" max="8" width="2" hidden="0" customWidth="1"/>
    <x:col min="9" max="9" width="20" hidden="0" customWidth="1"/>
    <x:col min="10" max="10" width="3" hidden="0" customWidth="1"/>
    <x:col min="11" max="11" width="3" hidden="0" customWidth="1"/>
  </x:cols>
  <x:sheetData>
    <x:row r="2" ht="31" customHeight="1">
      <x:c r="C2" s="3" t="str">
        <x:v>LVF Real Estate Deal Analyzer™</x:v>
      </x:c>
      <x:c r="D2" s="3"/>
      <x:c r="E2" s="3"/>
      <x:c r="F2" s="3"/>
      <x:c r="G2" s="3"/>
      <x:c r="H2" s="3"/>
      <x:c r="I2" s="3"/>
      <x:c r="J2" s="3"/>
      <x:c r="K2" s="3"/>
    </x:row>
    <x:row r="3" ht="24" customHeight="1">
      <x:c r="C3" s="76" t="str">
        <x:v>A Legacy Vault Financial Educational Tool</x:v>
      </x:c>
      <x:c r="D3" s="76"/>
      <x:c r="E3" s="76"/>
      <x:c r="F3" s="76"/>
      <x:c r="G3" s="76"/>
      <x:c r="H3" s="76"/>
      <x:c r="I3" s="76"/>
      <x:c r="J3" s="76"/>
      <x:c r="K3" s="76"/>
    </x:row>
    <x:row r="4" ht="22" customHeight="1">
      <x:c r="C4" s="6" t="str">
        <x:v>Build it. Protect it. Pass it on.</x:v>
      </x:c>
      <x:c r="D4" s="6"/>
      <x:c r="E4" s="6"/>
      <x:c r="F4" s="6"/>
      <x:c r="G4" s="6"/>
      <x:c r="H4" s="6"/>
      <x:c r="I4" s="6"/>
      <x:c r="J4" s="6"/>
      <x:c r="K4" s="6"/>
    </x:row>
    <x:row r="5" ht="23" customHeight="1">
      <x:c r="C5" s="2"/>
      <x:c r="D5" s="2"/>
      <x:c r="E5" s="2"/>
      <x:c r="F5" s="2"/>
      <x:c r="G5" s="2"/>
      <x:c r="H5" s="2"/>
      <x:c r="I5" s="2"/>
      <x:c r="J5" s="2"/>
      <x:c r="K5" s="2"/>
    </x:row>
    <x:row r="6" ht="23" customHeight="1">
      <x:c r="C6" s="80" t="str">
        <x:f>'Inputs'!$E$9</x:f>
        <x:v>Illustrative rental</x:v>
      </x:c>
      <x:c r="D6" s="2"/>
      <x:c r="E6" s="2"/>
      <x:c r="F6" s="2"/>
      <x:c r="G6" s="2" t="str">
        <x:v>Hold (years)</x:v>
      </x:c>
      <x:c r="H6" s="2"/>
      <x:c r="I6" s="47" t="n">
        <x:f>'Inputs'!$E$45</x:f>
        <x:v>5</x:v>
      </x:c>
      <x:c r="J6" s="2"/>
      <x:c r="K6" s="2"/>
    </x:row>
    <x:row r="7" ht="32" customHeight="1">
      <x:c r="C7" s="6" t="inlineStr">
        <x:is>
          <x:t>Edit amber cells on Inputs and press Enter. Results update in Excel with Automatic calculation. Review Read Me if values stay unchanged.</x:t>
        </x:is>
      </x:c>
      <x:c r="D7" s="6"/>
      <x:c r="E7" s="6"/>
      <x:c r="F7" s="6"/>
      <x:c r="G7" s="6"/>
      <x:c r="H7" s="6"/>
      <x:c r="I7" s="6"/>
      <x:c r="J7" s="6"/>
      <x:c r="K7" s="6"/>
    </x:row>
    <x:row r="8" ht="23" customHeight="1">
      <x:c r="C8" s="2"/>
      <x:c r="D8" s="2"/>
      <x:c r="E8" s="2"/>
      <x:c r="F8" s="2"/>
      <x:c r="G8" s="2"/>
      <x:c r="H8" s="2"/>
      <x:c r="I8" s="2"/>
      <x:c r="J8" s="2"/>
      <x:c r="K8" s="2"/>
    </x:row>
    <x:row r="9" ht="24" customHeight="1">
      <x:c r="C9" s="8" t="str">
        <x:v>Acquisition</x:v>
      </x:c>
      <x:c r="D9" s="8"/>
      <x:c r="E9" s="8"/>
      <x:c r="F9" s="2"/>
      <x:c r="G9" s="8" t="str">
        <x:v>Exit at end of hold</x:v>
      </x:c>
      <x:c r="H9" s="8"/>
      <x:c r="I9" s="8"/>
      <x:c r="J9" s="2"/>
      <x:c r="K9" s="2"/>
    </x:row>
    <x:row r="10" ht="23" customHeight="1">
      <x:c r="C10" s="2" t="str">
        <x:v>Purchase price</x:v>
      </x:c>
      <x:c r="D10" s="2"/>
      <x:c r="E10" s="35" t="n">
        <x:f>'Property Model'!E7</x:f>
        <x:v>219900</x:v>
      </x:c>
      <x:c r="F10" s="2"/>
      <x:c r="G10" s="2" t="str">
        <x:v>Projected property value</x:v>
      </x:c>
      <x:c r="H10" s="2"/>
      <x:c r="I10" s="35" t="n">
        <x:f>'Property Model'!E43</x:f>
        <x:v>254924.36893857003</x:v>
      </x:c>
      <x:c r="J10" s="2"/>
      <x:c r="K10" s="2"/>
    </x:row>
    <x:row r="11" ht="23" customHeight="1">
      <x:c r="C11" s="2" t="str">
        <x:v>Initial cash required</x:v>
      </x:c>
      <x:c r="D11" s="2"/>
      <x:c r="E11" s="35" t="n">
        <x:f>'Property Model'!E14</x:f>
        <x:v>17482.04999999999</x:v>
      </x:c>
      <x:c r="F11" s="2"/>
      <x:c r="G11" s="2" t="str">
        <x:v>Remaining loan balance</x:v>
      </x:c>
      <x:c r="H11" s="2"/>
      <x:c r="I11" s="35" t="n">
        <x:f>'Property Model'!E46</x:f>
        <x:v>186566.28151952778</x:v>
      </x:c>
      <x:c r="J11" s="2"/>
      <x:c r="K11" s="2"/>
    </x:row>
    <x:row r="12" ht="23" customHeight="1">
      <x:c r="C12" s="2" t="str">
        <x:v>Loan amount</x:v>
      </x:c>
      <x:c r="D12" s="2"/>
      <x:c r="E12" s="35" t="n">
        <x:f>'Property Model'!E13</x:f>
        <x:v>208905</x:v>
      </x:c>
      <x:c r="F12" s="2"/>
      <x:c r="G12" s="52" t="str">
        <x:v>Projected net sale proceeds</x:v>
      </x:c>
      <x:c r="H12" s="52"/>
      <x:c r="I12" s="53" t="n">
        <x:f>'Property Model'!E48</x:f>
        <x:v>53062.625282728055</x:v>
      </x:c>
      <x:c r="J12" s="2"/>
      <x:c r="K12" s="2"/>
    </x:row>
    <x:row r="13" ht="23" customHeight="1">
      <x:c r="C13" s="38" t="str">
        <x:v>Loan / purchase price</x:v>
      </x:c>
      <x:c r="D13" s="2"/>
      <x:c r="E13" s="39" t="n">
        <x:f>'Property Model'!E19</x:f>
        <x:v>0.95</x:v>
      </x:c>
      <x:c r="F13" s="2"/>
      <x:c r="G13" s="2" t="str">
        <x:v>Gross owner equity at exit</x:v>
      </x:c>
      <x:c r="H13" s="2"/>
      <x:c r="I13" s="35" t="n">
        <x:f>'Property Model'!E49</x:f>
        <x:v>68358.08741904225</x:v>
      </x:c>
      <x:c r="J13" s="2"/>
      <x:c r="K13" s="2"/>
    </x:row>
    <x:row r="14" ht="23" customHeight="1">
      <x:c r="C14" s="2"/>
      <x:c r="D14" s="2"/>
      <x:c r="E14" s="2"/>
      <x:c r="F14" s="2"/>
      <x:c r="G14" s="2" t="str">
        <x:v>Change in gross owner equity</x:v>
      </x:c>
      <x:c r="H14" s="2"/>
      <x:c r="I14" s="35" t="n">
        <x:f>'Property Model'!E51</x:f>
        <x:v>57363.08741904225</x:v>
      </x:c>
      <x:c r="J14" s="2"/>
      <x:c r="K14" s="2"/>
    </x:row>
    <x:row r="15" ht="24" customHeight="1">
      <x:c r="C15" s="8" t="str">
        <x:v>Year 1 operations</x:v>
      </x:c>
      <x:c r="D15" s="8"/>
      <x:c r="E15" s="81"/>
      <x:c r="F15" s="2"/>
      <x:c r="G15" s="2" t="str">
        <x:v>Additional capital required</x:v>
      </x:c>
      <x:c r="H15" s="2"/>
      <x:c r="I15" s="35" t="n">
        <x:f>'Property Model'!E55</x:f>
        <x:v>0</x:v>
      </x:c>
      <x:c r="J15" s="2"/>
      <x:c r="K15" s="2"/>
    </x:row>
    <x:row r="16" ht="23" customHeight="1">
      <x:c r="C16" s="2" t="str">
        <x:v>NOI</x:v>
      </x:c>
      <x:c r="D16" s="2"/>
      <x:c r="E16" s="35" t="n">
        <x:f>'Property Model'!E29</x:f>
        <x:v>15249.38</x:v>
      </x:c>
      <x:c r="F16" s="2"/>
      <x:c r="G16" s="2"/>
      <x:c r="H16" s="2"/>
      <x:c r="I16" s="2"/>
      <x:c r="J16" s="2"/>
      <x:c r="K16" s="2"/>
    </x:row>
    <x:row r="17" ht="23" customHeight="1">
      <x:c r="C17" s="2" t="str">
        <x:v>Monthly cash flow</x:v>
      </x:c>
      <x:c r="D17" s="2"/>
      <x:c r="E17" s="35" t="n">
        <x:f>'Property Model'!E35</x:f>
        <x:v>261.61390580850986</x:v>
      </x:c>
      <x:c r="F17" s="2"/>
      <x:c r="G17" s="2"/>
      <x:c r="H17" s="2"/>
      <x:c r="I17" s="2"/>
      <x:c r="J17" s="2"/>
      <x:c r="K17" s="2"/>
    </x:row>
    <x:row r="18" ht="24" customHeight="1">
      <x:c r="C18" s="52" t="str">
        <x:v>Annual cash flow</x:v>
      </x:c>
      <x:c r="D18" s="52"/>
      <x:c r="E18" s="53" t="n">
        <x:f>'Property Model'!E34</x:f>
        <x:v>3139.3668697021185</x:v>
      </x:c>
      <x:c r="F18" s="2"/>
      <x:c r="G18" s="8" t="str">
        <x:v>Owner returns</x:v>
      </x:c>
      <x:c r="H18" s="8"/>
      <x:c r="I18" s="81"/>
      <x:c r="J18" s="2"/>
      <x:c r="K18" s="2"/>
    </x:row>
    <x:row r="19" ht="23" customHeight="1">
      <x:c r="C19" s="38" t="str">
        <x:v>Cap rate</x:v>
      </x:c>
      <x:c r="D19" s="2"/>
      <x:c r="E19" s="39" t="n">
        <x:f>'Property Model'!E37</x:f>
        <x:v>0.0693468849477035</x:v>
      </x:c>
      <x:c r="F19" s="2"/>
      <x:c r="G19" s="2" t="str">
        <x:v>Total capital contributed</x:v>
      </x:c>
      <x:c r="H19" s="2"/>
      <x:c r="I19" s="35" t="n">
        <x:f>'Property Model'!E54</x:f>
        <x:v>17482.04999999999</x:v>
      </x:c>
      <x:c r="J19" s="2"/>
      <x:c r="K19" s="2"/>
    </x:row>
    <x:row r="20" ht="23" customHeight="1">
      <x:c r="C20" s="38" t="str">
        <x:v>Cash-on-cash return</x:v>
      </x:c>
      <x:c r="D20" s="2"/>
      <x:c r="E20" s="39" t="n">
        <x:f>'Property Model'!E36</x:f>
        <x:v>0.179576586824893</x:v>
      </x:c>
      <x:c r="F20" s="2"/>
      <x:c r="G20" s="2" t="str">
        <x:v>Total distributions</x:v>
      </x:c>
      <x:c r="H20" s="2"/>
      <x:c r="I20" s="35" t="n">
        <x:f>'Property Model'!E56</x:f>
        <x:v>73102.62609753646</x:v>
      </x:c>
      <x:c r="J20" s="2"/>
      <x:c r="K20" s="2"/>
    </x:row>
    <x:row r="21" ht="23" customHeight="1">
      <x:c r="C21" s="38" t="str">
        <x:v>NOI DSCR (scheduled P&amp;I)</x:v>
      </x:c>
      <x:c r="D21" s="2"/>
      <x:c r="E21" s="42" t="n">
        <x:f>'Property Model'!E38</x:f>
        <x:v>1.3977416725238752</x:v>
      </x:c>
      <x:c r="F21" s="2"/>
      <x:c r="G21" s="52" t="str">
        <x:v>Total investment profit</x:v>
      </x:c>
      <x:c r="H21" s="52"/>
      <x:c r="I21" s="53" t="n">
        <x:f>'Property Model'!E57</x:f>
        <x:v>55620.57609753647</x:v>
      </x:c>
      <x:c r="J21" s="2"/>
      <x:c r="K21" s="2"/>
    </x:row>
    <x:row r="22" ht="23" customHeight="1">
      <x:c r="C22" s="38" t="str">
        <x:v>Cash coverage after reserves / fees</x:v>
      </x:c>
      <x:c r="D22" s="2"/>
      <x:c r="E22" s="42" t="n">
        <x:f>'Property Model'!E39</x:f>
        <x:v>1.2877509708016641</x:v>
      </x:c>
      <x:c r="F22" s="2"/>
      <x:c r="G22" s="38" t="str">
        <x:v>Total return</x:v>
      </x:c>
      <x:c r="H22" s="2"/>
      <x:c r="I22" s="39" t="n">
        <x:f>'Property Model'!E58</x:f>
        <x:v>3.1815820282825245</x:v>
      </x:c>
      <x:c r="J22" s="2"/>
      <x:c r="K22" s="2"/>
    </x:row>
    <x:row r="23" ht="23" customHeight="1">
      <x:c r="C23" s="38" t="str">
        <x:v>Break-even occupancy</x:v>
      </x:c>
      <x:c r="D23" s="2"/>
      <x:c r="E23" s="39" t="n">
        <x:f>'Property Model'!E40</x:f>
        <x:v>0.8127779146034567</x:v>
      </x:c>
      <x:c r="F23" s="2"/>
      <x:c r="G23" s="38" t="str">
        <x:v>Annualized return (annual IRR)</x:v>
      </x:c>
      <x:c r="H23" s="2"/>
      <x:c r="I23" s="39" t="n">
        <x:f>'Property Model'!E61</x:f>
        <x:v>0.3993305347341053</x:v>
      </x:c>
      <x:c r="J23" s="2"/>
      <x:c r="K23" s="2"/>
    </x:row>
    <x:row r="24" ht="23" customHeight="1">
      <x:c r="C24" s="2"/>
      <x:c r="D24" s="2"/>
      <x:c r="E24" s="2"/>
      <x:c r="F24" s="2"/>
      <x:c r="G24" s="2"/>
      <x:c r="H24" s="2"/>
      <x:c r="I24" s="2"/>
      <x:c r="J24" s="2"/>
      <x:c r="K24" s="2"/>
    </x:row>
    <x:row r="25" ht="23" customHeight="1">
      <x:c r="C25" s="2"/>
      <x:c r="D25" s="2"/>
      <x:c r="E25" s="2"/>
      <x:c r="F25" s="2"/>
      <x:c r="G25" s="2"/>
      <x:c r="H25" s="2"/>
      <x:c r="I25" s="2"/>
      <x:c r="J25" s="2"/>
      <x:c r="K25" s="2"/>
    </x:row>
    <x:row r="26" ht="24" customHeight="1">
      <x:c r="C26" s="8" t="str">
        <x:v>Deal health indicators</x:v>
      </x:c>
      <x:c r="D26" s="8"/>
      <x:c r="E26" s="8"/>
      <x:c r="F26" s="8"/>
      <x:c r="G26" s="8"/>
      <x:c r="H26" s="8"/>
      <x:c r="I26" s="8"/>
      <x:c r="J26" s="2"/>
      <x:c r="K26" s="2"/>
    </x:row>
    <x:row r="27" ht="26" customHeight="1">
      <x:c r="C27" s="15" t="str">
        <x:v>Metric</x:v>
      </x:c>
      <x:c r="D27" s="16" t="str"/>
      <x:c r="E27" s="17" t="str">
        <x:v>Reading</x:v>
      </x:c>
      <x:c r="F27" s="2"/>
      <x:c r="G27" s="15" t="str">
        <x:v>Reason / threshold</x:v>
      </x:c>
      <x:c r="H27" s="16" t="str"/>
      <x:c r="I27" s="17" t="str"/>
      <x:c r="J27" s="2"/>
      <x:c r="K27" s="2"/>
    </x:row>
    <x:row r="28" ht="37" customHeight="1">
      <x:c r="C28" s="2" t="str">
        <x:v>Year 1 cash flow</x:v>
      </x:c>
      <x:c r="D28" s="2"/>
      <x:c r="E28" s="82" t="str">
        <x:f>IF('Property Model'!E34&lt;0,"Needs Attention",IF('Property Model'!E34=0,"Moderate","Stronger"))</x:f>
        <x:v>Stronger</x:v>
      </x:c>
      <x:c r="F28" s="2"/>
      <x:c r="G28" s="6" t="str">
        <x:v>Negative requires outside funding. Positive alone does not establish investment suitability.</x:v>
      </x:c>
      <x:c r="H28" s="6"/>
      <x:c r="I28" s="6"/>
      <x:c r="J28" s="2"/>
      <x:c r="K28" s="2"/>
    </x:row>
    <x:row r="29" ht="37" customHeight="1">
      <x:c r="C29" s="2" t="str">
        <x:v>DSCR</x:v>
      </x:c>
      <x:c r="D29" s="2"/>
      <x:c r="E29" s="82" t="str">
        <x:f>IF('Property Model'!E33=0,"n.a.",IF('Property Model'!E38&lt;1,"Needs Attention",IF('Property Model'!E38&lt;'Inputs'!$E$70,"Moderate","Stronger")))</x:f>
        <x:v>Stronger</x:v>
      </x:c>
      <x:c r="F29" s="2"/>
      <x:c r="G29" s="6" t="str">
        <x:v>NOI / P&amp;I. Below 1.00x cannot cover scheduled P&amp;I. Stronger threshold is on Inputs.</x:v>
      </x:c>
      <x:c r="H29" s="6"/>
      <x:c r="I29" s="6"/>
      <x:c r="J29" s="2"/>
      <x:c r="K29" s="2"/>
    </x:row>
    <x:row r="30" ht="37" customHeight="1">
      <x:c r="C30" s="2" t="str">
        <x:v>Vacancy assumption</x:v>
      </x:c>
      <x:c r="D30" s="2"/>
      <x:c r="E30" s="82" t="str">
        <x:f>IF('Inputs'!$E$26&gt;='Inputs'!$E$68,"Needs Attention","Moderate")</x:f>
        <x:v>Moderate</x:v>
      </x:c>
      <x:c r="F30" s="2"/>
      <x:c r="G30" s="6" t="str">
        <x:v>Compared with the high-vacancy review threshold. Verify local occupancy and collection evidence.</x:v>
      </x:c>
      <x:c r="H30" s="6"/>
      <x:c r="I30" s="6"/>
      <x:c r="J30" s="2"/>
      <x:c r="K30" s="2"/>
    </x:row>
    <x:row r="31" ht="37" customHeight="1">
      <x:c r="C31" s="2" t="str">
        <x:v>Cash-on-cash return</x:v>
      </x:c>
      <x:c r="D31" s="2"/>
      <x:c r="E31" s="82" t="str">
        <x:f>IF(ISNUMBER('Property Model'!E36),IF('Property Model'!E36&lt;'Inputs'!$E$67,"Needs Attention","Stronger"),"n.a.")</x:f>
        <x:v>Stronger</x:v>
      </x:c>
      <x:c r="F31" s="2"/>
      <x:c r="G31" s="6" t="str">
        <x:v>Compared with your review target on Inputs. Before income tax and after modeled allowances.</x:v>
      </x:c>
      <x:c r="H31" s="6"/>
      <x:c r="I31" s="6"/>
      <x:c r="J31" s="2"/>
      <x:c r="K31" s="2"/>
    </x:row>
    <x:row r="32" ht="37" customHeight="1">
      <x:c r="C32" s="2" t="str">
        <x:v>Leverage</x:v>
      </x:c>
      <x:c r="D32" s="2"/>
      <x:c r="E32" s="82" t="str">
        <x:f>IF('Property Model'!E19&gt;='Inputs'!$E$69,"Needs Attention","Moderate")</x:f>
        <x:v>Needs Attention</x:v>
      </x:c>
      <x:c r="F32" s="2"/>
      <x:c r="G32" s="6" t="str">
        <x:v>Loan / purchase price. Lower leverage still requires financing and liquidity review.</x:v>
      </x:c>
      <x:c r="H32" s="6"/>
      <x:c r="I32" s="6"/>
      <x:c r="J32" s="2"/>
      <x:c r="K32" s="2"/>
    </x:row>
    <x:row r="33" ht="37" customHeight="1">
      <x:c r="C33" s="2" t="str">
        <x:v>Net sale proceeds</x:v>
      </x:c>
      <x:c r="D33" s="2"/>
      <x:c r="E33" s="82" t="str">
        <x:f>IF('Property Model'!E48&lt;0,"Needs Attention",IF('Property Model'!E48=0,"Moderate","Stronger"))</x:f>
        <x:v>Stronger</x:v>
      </x:c>
      <x:c r="F33" s="2"/>
      <x:c r="G33" s="6" t="str">
        <x:v>After selling costs, sponsor exit fee and the remaining loan payoff. A shortfall requires capital.</x:v>
      </x:c>
      <x:c r="H33" s="6"/>
      <x:c r="I33" s="6"/>
      <x:c r="J33" s="2"/>
      <x:c r="K33" s="2"/>
    </x:row>
    <x:row r="34" ht="37" customHeight="1">
      <x:c r="C34" s="2" t="str">
        <x:v>Loan maturity during hold</x:v>
      </x:c>
      <x:c r="D34" s="2"/>
      <x:c r="E34" s="82" t="str">
        <x:f>IF(SUM('Annual Projection'!M10:M39)&gt;0,"Needs Attention","Moderate")</x:f>
        <x:v>Moderate</x:v>
      </x:c>
      <x:c r="F34" s="2"/>
      <x:c r="G34" s="6" t="str">
        <x:v>An earlier balloon is cash-funded in this model. Review capital availability or a separate refinance plan.</x:v>
      </x:c>
      <x:c r="H34" s="6"/>
      <x:c r="I34" s="6"/>
      <x:c r="J34" s="2"/>
      <x:c r="K34" s="2"/>
    </x:row>
    <x:row r="35" ht="37" customHeight="1">
      <x:c r="C35" s="2" t="str">
        <x:v>Input completeness / ranges</x:v>
      </x:c>
      <x:c r="D35" s="2"/>
      <x:c r="E35" s="82" t="str">
        <x:f>IF(OR('Inputs'!E74="Needs Attention",'Inputs'!E75="Needs Attention"),"Needs Attention","Complete")</x:f>
        <x:v>Complete</x:v>
      </x:c>
      <x:c r="F35" s="2"/>
      <x:c r="G35" s="6" t="str">
        <x:v>Required numeric fields and core ranges are checked on Inputs. Verify every estimate independently.</x:v>
      </x:c>
      <x:c r="H35" s="6"/>
      <x:c r="I35" s="6"/>
      <x:c r="J35" s="2"/>
      <x:c r="K35" s="2"/>
    </x:row>
    <x:row r="36" ht="37" customHeight="1">
      <x:c r="C36" s="2" t="str">
        <x:v>Initial valuation assumption</x:v>
      </x:c>
      <x:c r="D36" s="2"/>
      <x:c r="E36" s="82" t="str">
        <x:f>IF('Property Model'!E16&gt;'Property Model'!E7,"Needs Attention","Moderate")</x:f>
        <x:v>Moderate</x:v>
      </x:c>
      <x:c r="F36" s="2"/>
      <x:c r="G36" s="6" t="str">
        <x:v>A value above purchase price increases projected equity and returns. Independently support that premium.</x:v>
      </x:c>
      <x:c r="H36" s="6"/>
      <x:c r="I36" s="6"/>
      <x:c r="J36" s="2"/>
      <x:c r="K36" s="2"/>
    </x:row>
    <x:row r="37" ht="23" customHeight="1">
      <x:c r="C37" s="2"/>
      <x:c r="D37" s="2"/>
      <x:c r="E37" s="2"/>
      <x:c r="F37" s="2"/>
      <x:c r="G37" s="2"/>
      <x:c r="H37" s="2"/>
      <x:c r="I37" s="2"/>
      <x:c r="J37" s="2"/>
      <x:c r="K37" s="2"/>
    </x:row>
    <x:row r="38" ht="24" customHeight="1">
      <x:c r="C38" s="8" t="inlineStr">
        <x:is>
          <x:t>Optional LP returns — enable on Inputs E56</x:t>
        </x:is>
      </x:c>
      <x:c r="D38" s="8"/>
      <x:c r="E38" s="8"/>
      <x:c r="F38" s="8"/>
      <x:c r="G38" s="8"/>
      <x:c r="H38" s="8"/>
      <x:c r="I38" s="8"/>
      <x:c r="J38" s="2"/>
      <x:c r="K38" s="2"/>
    </x:row>
    <x:row r="39" ht="23" customHeight="1">
      <x:c r="C39" s="2" t="str">
        <x:v>Optional investor model</x:v>
      </x:c>
      <x:c r="D39" s="2"/>
      <x:c r="E39" s="29" t="str">
        <x:f>'Inputs'!$E$56</x:f>
        <x:v>Off</x:v>
      </x:c>
      <x:c r="F39" s="2"/>
      <x:c r="G39" s="2" t="str">
        <x:v>LP initial capital</x:v>
      </x:c>
      <x:c r="H39" s="2"/>
      <x:c r="I39" s="35" t="str">
        <x:f>'Investor Returns'!E9</x:f>
        <x:v>n.a.</x:v>
      </x:c>
      <x:c r="J39" s="2"/>
      <x:c r="K39" s="2"/>
    </x:row>
    <x:row r="40" ht="23" customHeight="1">
      <x:c r="C40" s="2" t="str">
        <x:v>LP total capital contributed</x:v>
      </x:c>
      <x:c r="D40" s="2"/>
      <x:c r="E40" s="35" t="str">
        <x:f>'Investor Returns'!E15</x:f>
        <x:v>n.a.</x:v>
      </x:c>
      <x:c r="F40" s="2"/>
      <x:c r="G40" s="38" t="str">
        <x:v>LP total return</x:v>
      </x:c>
      <x:c r="H40" s="2"/>
      <x:c r="I40" s="39" t="str">
        <x:f>'Investor Returns'!E20</x:f>
        <x:v>n.a.</x:v>
      </x:c>
      <x:c r="J40" s="2"/>
      <x:c r="K40" s="2"/>
    </x:row>
    <x:row r="41" ht="23" customHeight="1">
      <x:c r="C41" s="2" t="str">
        <x:v>LP total distributions</x:v>
      </x:c>
      <x:c r="D41" s="2"/>
      <x:c r="E41" s="35" t="str">
        <x:f>'Investor Returns'!E18</x:f>
        <x:v>n.a.</x:v>
      </x:c>
      <x:c r="F41" s="2"/>
      <x:c r="G41" s="38" t="str">
        <x:v>LP annualized return (IRR)</x:v>
      </x:c>
      <x:c r="H41" s="2"/>
      <x:c r="I41" s="39" t="str">
        <x:f>'Investor Returns'!E22</x:f>
        <x:v>n.a.</x:v>
      </x:c>
      <x:c r="J41" s="2"/>
      <x:c r="K41" s="2"/>
    </x:row>
    <x:row r="42" ht="23" customHeight="1">
      <x:c r="C42" s="2" t="str">
        <x:v>LP profit</x:v>
      </x:c>
      <x:c r="D42" s="2"/>
      <x:c r="E42" s="35" t="str">
        <x:f>'Investor Returns'!E19</x:f>
        <x:v>n.a.</x:v>
      </x:c>
      <x:c r="F42" s="2"/>
      <x:c r="G42" s="2" t="str">
        <x:v>LP unpaid preference at exit</x:v>
      </x:c>
      <x:c r="H42" s="2"/>
      <x:c r="I42" s="35" t="str">
        <x:f>'Investor Returns'!E80</x:f>
        <x:v>n.a.</x:v>
      </x:c>
      <x:c r="J42" s="2"/>
      <x:c r="K42" s="2"/>
    </x:row>
    <x:row r="43" ht="23" customHeight="1">
      <x:c r="C43" s="2"/>
      <x:c r="D43" s="2"/>
      <x:c r="E43" s="2"/>
      <x:c r="F43" s="2"/>
      <x:c r="G43" s="2"/>
      <x:c r="H43" s="2"/>
      <x:c r="I43" s="2"/>
      <x:c r="J43" s="2"/>
      <x:c r="K43" s="2"/>
    </x:row>
    <x:row r="44" ht="29" customHeight="1">
      <x:c r="C44" s="6" t="str">
        <x:v>Annual cash flow is year 1 before any maturity balloon. Equity is an estimate before selling costs. Investor results are a separate allocation of the property economics. Review flags are educational comparisons, not a deal recommendation.</x:v>
      </x:c>
      <x:c r="D44" s="6"/>
      <x:c r="E44" s="6"/>
      <x:c r="F44" s="6"/>
      <x:c r="G44" s="6"/>
      <x:c r="H44" s="6"/>
      <x:c r="I44" s="6"/>
      <x:c r="J44" s="6"/>
      <x:c r="K44" s="6"/>
    </x:row>
    <x:row r="45" ht="29" customHeight="1">
      <x:c r="C45" s="6"/>
      <x:c r="D45" s="6"/>
      <x:c r="E45" s="6"/>
      <x:c r="F45" s="6"/>
      <x:c r="G45" s="6"/>
      <x:c r="H45" s="6"/>
      <x:c r="I45" s="6"/>
      <x:c r="J45" s="6"/>
      <x:c r="K45" s="6"/>
    </x:row>
    <x:row r="46" ht="23" customHeight="1">
      <x:c r="C46" s="2"/>
      <x:c r="D46" s="2"/>
      <x:c r="E46" s="2"/>
      <x:c r="F46" s="2"/>
      <x:c r="G46" s="2"/>
      <x:c r="H46" s="2"/>
      <x:c r="I46" s="2"/>
      <x:c r="J46" s="2"/>
      <x:c r="K46" s="2"/>
    </x:row>
    <x:row r="47" ht="25" customHeight="1">
      <x:c r="C47" s="6" t="str">
        <x:v>This calculator is provided for educational and informational purposes only. It does not constitute investment, tax, legal, accounting, lending, or financial advice. Results are estimates based on user-provided assumptions and may differ materially from actual results. Real-estate investments involve risk, including the potential loss of principal. Users should independently verify assumptions and consult appropriate licensed professionals before making financial decisions.</x:v>
      </x:c>
      <x:c r="D47" s="6"/>
      <x:c r="E47" s="6"/>
      <x:c r="F47" s="6"/>
      <x:c r="G47" s="6"/>
      <x:c r="H47" s="6"/>
      <x:c r="I47" s="6"/>
      <x:c r="J47" s="6"/>
      <x:c r="K47" s="6"/>
    </x:row>
    <x:row r="48" ht="25" customHeight="1">
      <x:c r="C48" s="6"/>
      <x:c r="D48" s="6"/>
      <x:c r="E48" s="6"/>
      <x:c r="F48" s="6"/>
      <x:c r="G48" s="6"/>
      <x:c r="H48" s="6"/>
      <x:c r="I48" s="6"/>
      <x:c r="J48" s="6"/>
      <x:c r="K48" s="6"/>
    </x:row>
    <x:row r="49" ht="25" customHeight="1">
      <x:c r="C49" s="6"/>
      <x:c r="D49" s="6"/>
      <x:c r="E49" s="6"/>
      <x:c r="F49" s="6"/>
      <x:c r="G49" s="6"/>
      <x:c r="H49" s="6"/>
      <x:c r="I49" s="6"/>
      <x:c r="J49" s="6"/>
      <x:c r="K49" s="6"/>
    </x:row>
    <x:row r="50" ht="25" customHeight="1">
      <x:c r="C50" s="6"/>
      <x:c r="D50" s="6"/>
      <x:c r="E50" s="6"/>
      <x:c r="F50" s="6"/>
      <x:c r="G50" s="6"/>
      <x:c r="H50" s="6"/>
      <x:c r="I50" s="6"/>
      <x:c r="J50" s="6"/>
      <x:c r="K50" s="6"/>
    </x:row>
    <x:row r="51" ht="23" customHeight="1">
      <x:c r="C51" s="2"/>
      <x:c r="D51" s="2"/>
      <x:c r="E51" s="2"/>
      <x:c r="F51" s="2"/>
      <x:c r="G51" s="2"/>
      <x:c r="H51" s="2"/>
      <x:c r="I51" s="2"/>
      <x:c r="J51" s="2"/>
      <x:c r="K51" s="2"/>
    </x:row>
  </x:sheetData>
  <x:mergeCells>
    <x:mergeCell ref="C2:K2"/>
    <x:mergeCell ref="C3:K3"/>
    <x:mergeCell ref="C4:K4"/>
    <x:mergeCell ref="C7:K7"/>
    <x:mergeCell ref="C27:D27"/>
    <x:mergeCell ref="G27:I27"/>
    <x:mergeCell ref="G28:I28"/>
    <x:mergeCell ref="G29:I29"/>
    <x:mergeCell ref="G30:I30"/>
    <x:mergeCell ref="G31:I31"/>
    <x:mergeCell ref="G32:I32"/>
    <x:mergeCell ref="G33:I33"/>
    <x:mergeCell ref="G34:I34"/>
    <x:mergeCell ref="G35:I35"/>
    <x:mergeCell ref="G36:I36"/>
    <x:mergeCell ref="C44:K45"/>
    <x:mergeCell ref="C47:K50"/>
  </x:mergeCells>
  <x:conditionalFormatting sqref="E28:E36">
    <x:cfRule type="containsText" dxfId="11" priority="1" operator="containsText" text="Needs Attention"/>
    <x:cfRule type="containsText" dxfId="12" priority="2" operator="containsText" text="Moderate"/>
    <x:cfRule type="containsText" dxfId="13" priority="3" operator="containsText" text="Stronger"/>
  </x:conditionalFormatting>
  <x:pageMargins left="0.7" right="0.7" top="0.75" bottom="0.75" header="0.3" footer="0.3"/>
</x:worksheet>
</file>

<file path=xl/worksheets/sheet2.xml><?xml version="1.0" encoding="utf-8"?>
<x:worksheet xmlns:x="http://schemas.openxmlformats.org/spreadsheetml/2006/main">
  <x:sheetPr>
    <x:tabColor rgb="FF254D71"/>
  </x:sheetPr>
  <x:sheetViews>
    <x:sheetView showGridLines="0" workbookViewId="0">
      <x:pane ySplit="6" topLeftCell="A7" activePane="bottomLeft" state="frozen"/>
    </x:sheetView>
  </x:sheetViews>
  <x:sheetFormatPr defaultRowHeight="15"/>
  <x:cols>
    <x:col min="1" max="1" width="2.200000047683716" hidden="0" customWidth="1"/>
    <x:col min="2" max="2" width="2.200000047683716" hidden="0" customWidth="1"/>
    <x:col min="3" max="3" width="43" hidden="0" customWidth="1"/>
    <x:col min="4" max="4" width="2" hidden="0" customWidth="1"/>
    <x:col min="5" max="5" width="19" hidden="0" customWidth="1"/>
    <x:col min="6" max="6" width="2" hidden="0" customWidth="1"/>
    <x:col min="7" max="7" width="94" hidden="0" customWidth="1"/>
  </x:cols>
  <x:sheetData>
    <x:row r="2" ht="31" customHeight="1">
      <x:c r="C2" s="3" t="str">
        <x:v>Inputs &amp; assumptions</x:v>
      </x:c>
      <x:c r="D2" s="3"/>
      <x:c r="E2" s="3"/>
      <x:c r="F2" s="3"/>
      <x:c r="G2" s="3"/>
    </x:row>
    <x:row r="3" ht="23" customHeight="1">
      <x:c r="C3" s="4"/>
      <x:c r="D3" s="4"/>
      <x:c r="E3" s="4"/>
      <x:c r="F3" s="4"/>
      <x:c r="G3" s="4"/>
    </x:row>
    <x:row r="4" ht="40" customHeight="1">
      <x:c r="C4" s="6" t="inlineStr">
        <x:is>
          <x:t>Edit amber cells in column E and press Enter. Use Excel Automatic calculation. Enter annual expenses even when billed once a year.</x:t>
        </x:is>
      </x:c>
      <x:c r="D4" s="6"/>
      <x:c r="E4" s="6"/>
      <x:c r="F4" s="6"/>
      <x:c r="G4" s="6"/>
    </x:row>
    <x:row r="5" ht="23" customHeight="1">
      <x:c r="C5" s="2"/>
      <x:c r="D5" s="2"/>
      <x:c r="E5" s="2"/>
      <x:c r="F5" s="2"/>
      <x:c r="G5" s="2"/>
    </x:row>
    <x:row r="6" ht="26" customHeight="1">
      <x:c r="C6" s="15" t="str">
        <x:v>Assumption</x:v>
      </x:c>
      <x:c r="D6" s="16" t="str"/>
      <x:c r="E6" s="16" t="str">
        <x:v>Value</x:v>
      </x:c>
      <x:c r="F6" s="16" t="str"/>
      <x:c r="G6" s="17" t="str">
        <x:v>Basis / guidance</x:v>
      </x:c>
    </x:row>
    <x:row r="7" ht="23" customHeight="1">
      <x:c r="C7" s="2"/>
      <x:c r="D7" s="2"/>
      <x:c r="E7" s="2"/>
      <x:c r="F7" s="2"/>
      <x:c r="G7" s="2"/>
    </x:row>
    <x:row r="8" ht="24" customHeight="1">
      <x:c r="C8" s="8" t="str">
        <x:v>Property &amp; acquisition</x:v>
      </x:c>
      <x:c r="D8" s="8"/>
      <x:c r="E8" s="8"/>
      <x:c r="F8" s="8"/>
      <x:c r="G8" s="8"/>
    </x:row>
    <x:row r="9" ht="32" customHeight="1">
      <x:c r="C9" s="2" t="str">
        <x:v>Deal name</x:v>
      </x:c>
      <x:c r="D9" s="2"/>
      <x:c r="E9" s="20" t="str">
        <x:v>Illustrative rental</x:v>
      </x:c>
      <x:c r="F9" s="2"/>
      <x:c r="G9" s="6" t="str">
        <x:v>Example adapted from the uploaded workbook. Replace with your property name.</x:v>
      </x:c>
    </x:row>
    <x:row r="10" ht="32" customHeight="1">
      <x:c r="C10" s="2" t="str">
        <x:v>Purchase price</x:v>
      </x:c>
      <x:c r="D10" s="2"/>
      <x:c r="E10" s="22" t="n">
        <x:v>219900</x:v>
      </x:c>
      <x:c r="F10" s="2"/>
      <x:c r="G10" s="6" t="str">
        <x:v>From original Property Summary B2. Original Inputs B2 conflicted at $270,000.</x:v>
      </x:c>
    </x:row>
    <x:row r="11" ht="32" customHeight="1">
      <x:c r="C11" s="2" t="str">
        <x:v>Acquisition closing costs</x:v>
      </x:c>
      <x:c r="D11" s="2"/>
      <x:c r="E11" s="22" t="n">
        <x:v>4398</x:v>
      </x:c>
      <x:c r="F11" s="2"/>
      <x:c r="G11" s="6" t="str">
        <x:v>Illustrative cash estimate. Exclude financing fees and renovation costs entered below.</x:v>
      </x:c>
    </x:row>
    <x:row r="12" ht="32" customHeight="1">
      <x:c r="C12" s="2" t="str">
        <x:v>Initial renovation / capital work</x:v>
      </x:c>
      <x:c r="D12" s="2"/>
      <x:c r="E12" s="22" t="n">
        <x:v>0</x:v>
      </x:c>
      <x:c r="F12" s="2"/>
      <x:c r="G12" s="6" t="str">
        <x:v>Upfront cash expenditure. No automatic increase in property value is assumed.</x:v>
      </x:c>
    </x:row>
    <x:row r="13" ht="41" customHeight="1">
      <x:c r="C13" s="2" t="str">
        <x:v>Initial property value (optional)</x:v>
      </x:c>
      <x:c r="D13" s="2"/>
      <x:c r="E13" s="22"/>
      <x:c r="F13" s="2"/>
      <x:c r="G13" s="6" t="str">
        <x:v>Blank uses purchase price. A different value needs independent support. Original $270,000 appraisal was undated.</x:v>
      </x:c>
    </x:row>
    <x:row r="14" ht="23" customHeight="1">
      <x:c r="C14" s="2"/>
      <x:c r="D14" s="2"/>
      <x:c r="E14" s="2"/>
      <x:c r="F14" s="2"/>
      <x:c r="G14" s="2"/>
    </x:row>
    <x:row r="15" ht="23" customHeight="1">
      <x:c r="C15" s="2"/>
      <x:c r="D15" s="2"/>
      <x:c r="E15" s="2"/>
      <x:c r="F15" s="2"/>
      <x:c r="G15" s="2"/>
    </x:row>
    <x:row r="16" ht="24" customHeight="1">
      <x:c r="C16" s="8" t="str">
        <x:v>Financing</x:v>
      </x:c>
      <x:c r="D16" s="8"/>
      <x:c r="E16" s="8"/>
      <x:c r="F16" s="8"/>
      <x:c r="G16" s="8"/>
    </x:row>
    <x:row r="17" ht="32" customHeight="1">
      <x:c r="C17" s="2" t="str">
        <x:v>Down payment</x:v>
      </x:c>
      <x:c r="D17" s="2"/>
      <x:c r="E17" s="23" t="n">
        <x:v>0.05</x:v>
      </x:c>
      <x:c r="F17" s="2"/>
      <x:c r="G17" s="6" t="str">
        <x:v>Original 5% assumption. 100% models a cash purchase. Verify lender eligibility and loan insurance.</x:v>
      </x:c>
    </x:row>
    <x:row r="18" ht="32" customHeight="1">
      <x:c r="C18" s="2" t="str">
        <x:v>Annual loan interest rate</x:v>
      </x:c>
      <x:c r="D18" s="2"/>
      <x:c r="E18" s="24" t="n">
        <x:v>0.0325</x:v>
      </x:c>
      <x:c r="F18" s="2"/>
      <x:c r="G18" s="6" t="str">
        <x:v>Historical source-workbook rate. Replace with a quoted fixed rate.</x:v>
      </x:c>
    </x:row>
    <x:row r="19" ht="41" customHeight="1">
      <x:c r="C19" s="2" t="str">
        <x:v>Loan maturity (years)</x:v>
      </x:c>
      <x:c r="D19" s="2"/>
      <x:c r="E19" s="25" t="n">
        <x:v>30</x:v>
      </x:c>
      <x:c r="F19" s="2"/>
      <x:c r="G19" s="6" t="str">
        <x:v>Whole years, 1–30. A balloon is paid at maturity if the sale occurs later. No refinance is assumed.</x:v>
      </x:c>
    </x:row>
    <x:row r="20" ht="32" customHeight="1">
      <x:c r="C20" s="2" t="str">
        <x:v>Amortization period (years)</x:v>
      </x:c>
      <x:c r="D20" s="2"/>
      <x:c r="E20" s="25" t="n">
        <x:v>30</x:v>
      </x:c>
      <x:c r="F20" s="2"/>
      <x:c r="G20" s="6" t="str">
        <x:v>Whole years, 1–30. Determines scheduled monthly principal and interest.</x:v>
      </x:c>
    </x:row>
    <x:row r="21" ht="32" customHeight="1">
      <x:c r="C21" s="2" t="str">
        <x:v>Upfront financing fees</x:v>
      </x:c>
      <x:c r="D21" s="2"/>
      <x:c r="E21" s="22" t="n">
        <x:v>2089.05</x:v>
      </x:c>
      <x:c r="F21" s="2"/>
      <x:c r="G21" s="6" t="str">
        <x:v>Illustrative cash estimate. Fees are paid at acquisition, not added to loan principal.</x:v>
      </x:c>
    </x:row>
    <x:row r="22" ht="23" customHeight="1">
      <x:c r="C22" s="2"/>
      <x:c r="D22" s="2"/>
      <x:c r="E22" s="2"/>
      <x:c r="F22" s="2"/>
      <x:c r="G22" s="2"/>
    </x:row>
    <x:row r="23" ht="24" customHeight="1">
      <x:c r="C23" s="8" t="str">
        <x:v>Year 1 operations</x:v>
      </x:c>
      <x:c r="D23" s="8"/>
      <x:c r="E23" s="8"/>
      <x:c r="F23" s="8"/>
      <x:c r="G23" s="8"/>
    </x:row>
    <x:row r="24" ht="32" customHeight="1">
      <x:c r="C24" s="2" t="str">
        <x:v>Monthly gross scheduled rent</x:v>
      </x:c>
      <x:c r="D24" s="2"/>
      <x:c r="E24" s="22" t="n">
        <x:v>2050</x:v>
      </x:c>
      <x:c r="F24" s="2"/>
      <x:c r="G24" s="6" t="str">
        <x:v>Original rent assumption. Full occupancy before vacancy and collection loss.</x:v>
      </x:c>
    </x:row>
    <x:row r="25" ht="32" customHeight="1">
      <x:c r="C25" s="2" t="str">
        <x:v>Monthly other scheduled income</x:v>
      </x:c>
      <x:c r="D25" s="2"/>
      <x:c r="E25" s="22" t="n">
        <x:v>0</x:v>
      </x:c>
      <x:c r="F25" s="2"/>
      <x:c r="G25" s="6" t="str">
        <x:v>Parking, laundry or other property income. Modeled with the same vacancy/collection loss as rent.</x:v>
      </x:c>
    </x:row>
    <x:row r="26" ht="32" customHeight="1">
      <x:c r="C26" s="2" t="str">
        <x:v>Vacancy / collection loss</x:v>
      </x:c>
      <x:c r="D26" s="2"/>
      <x:c r="E26" s="23" t="n">
        <x:v>0.05</x:v>
      </x:c>
      <x:c r="F26" s="2"/>
      <x:c r="G26" s="6" t="str">
        <x:v>Illustrative placeholder. Applied to rent and other scheduled income each year.</x:v>
      </x:c>
    </x:row>
    <x:row r="27" ht="32" customHeight="1">
      <x:c r="C27" s="2" t="str">
        <x:v>Property-management rate</x:v>
      </x:c>
      <x:c r="D27" s="2"/>
      <x:c r="E27" s="23" t="n">
        <x:v>0.07</x:v>
      </x:c>
      <x:c r="F27" s="2"/>
      <x:c r="G27" s="6" t="str">
        <x:v>Original rate. Charged on effective collected income, including other income.</x:v>
      </x:c>
    </x:row>
    <x:row r="28" ht="32" customHeight="1">
      <x:c r="C28" s="2" t="str">
        <x:v>Annual property taxes</x:v>
      </x:c>
      <x:c r="D28" s="2"/>
      <x:c r="E28" s="26" t="n">
        <x:v>3455.64</x:v>
      </x:c>
      <x:c r="F28" s="2"/>
      <x:c r="G28" s="6" t="str">
        <x:v>From original annual note. Included in operating costs regardless of billing or escrow timing.</x:v>
      </x:c>
    </x:row>
    <x:row r="29" ht="32" customHeight="1">
      <x:c r="C29" s="2" t="str">
        <x:v>Annual property insurance</x:v>
      </x:c>
      <x:c r="D29" s="2"/>
      <x:c r="E29" s="26" t="n">
        <x:v>1453.37</x:v>
      </x:c>
      <x:c r="F29" s="2"/>
      <x:c r="G29" s="6" t="str">
        <x:v>From original annual note. Include adequate coverage and independently verify the premium.</x:v>
      </x:c>
    </x:row>
    <x:row r="30" ht="32" customHeight="1">
      <x:c r="C30" s="2" t="str">
        <x:v>Annual HOA / association dues</x:v>
      </x:c>
      <x:c r="D30" s="2"/>
      <x:c r="E30" s="26" t="n">
        <x:v>375.71</x:v>
      </x:c>
      <x:c r="F30" s="2"/>
      <x:c r="G30" s="6" t="str">
        <x:v>From original annual note. Include recurring dues, not special assessments.</x:v>
      </x:c>
    </x:row>
    <x:row r="31" ht="32" customHeight="1">
      <x:c r="C31" s="2" t="str">
        <x:v>Annual owner-paid utilities</x:v>
      </x:c>
      <x:c r="D31" s="2"/>
      <x:c r="E31" s="22" t="n">
        <x:v>0</x:v>
      </x:c>
      <x:c r="F31" s="2"/>
      <x:c r="G31" s="6" t="str">
        <x:v>Enter the owner-paid portion only.</x:v>
      </x:c>
    </x:row>
    <x:row r="32" ht="32" customHeight="1">
      <x:c r="C32" s="2" t="str">
        <x:v>Annual routine maintenance</x:v>
      </x:c>
      <x:c r="D32" s="2"/>
      <x:c r="E32" s="22" t="n">
        <x:v>600</x:v>
      </x:c>
      <x:c r="F32" s="2"/>
      <x:c r="G32" s="6" t="str">
        <x:v>Illustrative allowance. Keep separate from repairs and replacement capital.</x:v>
      </x:c>
    </x:row>
    <x:row r="33" ht="32" customHeight="1">
      <x:c r="C33" s="2" t="str">
        <x:v>Annual repair allowance</x:v>
      </x:c>
      <x:c r="D33" s="2"/>
      <x:c r="E33" s="22" t="n">
        <x:v>600</x:v>
      </x:c>
      <x:c r="F33" s="2"/>
      <x:c r="G33" s="6" t="str">
        <x:v>Illustrative allowance. Unexpected major costs can exceed this amount.</x:v>
      </x:c>
    </x:row>
    <x:row r="34" ht="32" customHeight="1">
      <x:c r="C34" s="2" t="str">
        <x:v>Annual other operating costs</x:v>
      </x:c>
      <x:c r="D34" s="2"/>
      <x:c r="E34" s="22" t="n">
        <x:v>0</x:v>
      </x:c>
      <x:c r="F34" s="2"/>
      <x:c r="G34" s="6" t="str">
        <x:v>Include recurring licenses, accounting, leasing and other ownership costs as applicable.</x:v>
      </x:c>
    </x:row>
    <x:row r="35" ht="41" customHeight="1">
      <x:c r="C35" s="2" t="str">
        <x:v>Annual capital-expenditure allowance</x:v>
      </x:c>
      <x:c r="D35" s="2"/>
      <x:c r="E35" s="22" t="n">
        <x:v>1200</x:v>
      </x:c>
      <x:c r="F35" s="2"/>
      <x:c r="G35" s="6" t="str">
        <x:v>Illustrative replacement allowance. Deducted below NOI and treated as spent, not accumulated/released cash.</x:v>
      </x:c>
    </x:row>
    <x:row r="36" ht="32" customHeight="1">
      <x:c r="C36" s="2" t="str">
        <x:v>Annual loan insurance / financing cost</x:v>
      </x:c>
      <x:c r="D36" s="2"/>
      <x:c r="E36" s="22" t="n">
        <x:v>0</x:v>
      </x:c>
      <x:c r="F36" s="2"/>
      <x:c r="G36" s="6" t="str">
        <x:v>Deducted below NOI. Excludes P&amp;I. Verify required mortgage insurance, guarantee or ongoing loan fees.</x:v>
      </x:c>
    </x:row>
    <x:row r="37" ht="23" customHeight="1">
      <x:c r="C37" s="2"/>
      <x:c r="D37" s="2"/>
      <x:c r="E37" s="2"/>
      <x:c r="F37" s="2"/>
      <x:c r="G37" s="2"/>
    </x:row>
    <x:row r="38" ht="23" customHeight="1">
      <x:c r="C38" s="2"/>
      <x:c r="D38" s="2"/>
      <x:c r="E38" s="2"/>
      <x:c r="F38" s="2"/>
      <x:c r="G38" s="2"/>
    </x:row>
    <x:row r="39" ht="24" customHeight="1">
      <x:c r="C39" s="8" t="str">
        <x:v>Growth</x:v>
      </x:c>
      <x:c r="D39" s="8"/>
      <x:c r="E39" s="8"/>
      <x:c r="F39" s="8"/>
      <x:c r="G39" s="8"/>
    </x:row>
    <x:row r="40" ht="32" customHeight="1">
      <x:c r="C40" s="2" t="str">
        <x:v>Annual rent / other-income growth</x:v>
      </x:c>
      <x:c r="D40" s="2"/>
      <x:c r="E40" s="23" t="n">
        <x:v>0.03</x:v>
      </x:c>
      <x:c r="F40" s="2"/>
      <x:c r="G40" s="6" t="str">
        <x:v>Illustrative growth applied after year 1. Negative growth is allowed.</x:v>
      </x:c>
    </x:row>
    <x:row r="41" ht="32" customHeight="1">
      <x:c r="C41" s="2" t="str">
        <x:v>Annual expense growth</x:v>
      </x:c>
      <x:c r="D41" s="2"/>
      <x:c r="E41" s="23" t="n">
        <x:v>0.03</x:v>
      </x:c>
      <x:c r="F41" s="2"/>
      <x:c r="G41" s="6" t="str">
        <x:v>Applies to fixed operating costs, capex allowance and annual financing cost. Management remains a percentage.</x:v>
      </x:c>
    </x:row>
    <x:row r="42" ht="32" customHeight="1">
      <x:c r="C42" s="2" t="str">
        <x:v>Annual property appreciation</x:v>
      </x:c>
      <x:c r="D42" s="2"/>
      <x:c r="E42" s="23" t="n">
        <x:v>0.03</x:v>
      </x:c>
      <x:c r="F42" s="2"/>
      <x:c r="G42" s="6" t="str">
        <x:v>Illustrative 3%. Original tabs conflicted (5% versus an unused 3). May be negative.</x:v>
      </x:c>
    </x:row>
    <x:row r="43" ht="23" customHeight="1">
      <x:c r="C43" s="2"/>
      <x:c r="D43" s="2"/>
      <x:c r="E43" s="2"/>
      <x:c r="F43" s="2"/>
      <x:c r="G43" s="2"/>
    </x:row>
    <x:row r="44" ht="24" customHeight="1">
      <x:c r="C44" s="8" t="str">
        <x:v>Investment period</x:v>
      </x:c>
      <x:c r="D44" s="8"/>
      <x:c r="E44" s="8"/>
      <x:c r="F44" s="8"/>
      <x:c r="G44" s="8"/>
    </x:row>
    <x:row r="45" ht="32" customHeight="1">
      <x:c r="C45" s="2" t="str">
        <x:v>Holding period (years)</x:v>
      </x:c>
      <x:c r="D45" s="2"/>
      <x:c r="E45" s="25" t="n">
        <x:v>5</x:v>
      </x:c>
      <x:c r="F45" s="2"/>
      <x:c r="G45" s="6" t="str">
        <x:v>1–30 whole years. Sale and final distributions occur at the end of this year.</x:v>
      </x:c>
    </x:row>
    <x:row r="46" ht="23" customHeight="1">
      <x:c r="C46" s="2"/>
      <x:c r="D46" s="2"/>
      <x:c r="E46" s="2"/>
      <x:c r="F46" s="2"/>
      <x:c r="G46" s="2"/>
    </x:row>
    <x:row r="47" ht="23" customHeight="1">
      <x:c r="C47" s="2"/>
      <x:c r="D47" s="2"/>
      <x:c r="E47" s="2"/>
      <x:c r="F47" s="2"/>
      <x:c r="G47" s="2"/>
    </x:row>
    <x:row r="48" ht="24" customHeight="1">
      <x:c r="C48" s="8" t="str">
        <x:v>Exit assumptions</x:v>
      </x:c>
      <x:c r="D48" s="8"/>
      <x:c r="E48" s="8"/>
      <x:c r="F48" s="8"/>
      <x:c r="G48" s="8"/>
    </x:row>
    <x:row r="49" ht="32" customHeight="1">
      <x:c r="C49" s="2" t="str">
        <x:v>Selling costs (% of sale price)</x:v>
      </x:c>
      <x:c r="D49" s="2"/>
      <x:c r="E49" s="23" t="n">
        <x:v>0.06</x:v>
      </x:c>
      <x:c r="F49" s="2"/>
      <x:c r="G49" s="6" t="str">
        <x:v>Illustrative total brokerage and other variable sale costs. Excludes the separate sponsor exit fee.</x:v>
      </x:c>
    </x:row>
    <x:row r="50" ht="32" customHeight="1">
      <x:c r="C50" s="2" t="str">
        <x:v>Sale price override (optional)</x:v>
      </x:c>
      <x:c r="D50" s="2"/>
      <x:c r="E50" s="22"/>
      <x:c r="F50" s="2"/>
      <x:c r="G50" s="6" t="str">
        <x:v>Blank uses appreciation-driven value. Zero is a deliberate zero sale price. Overrides only the exit year.</x:v>
      </x:c>
    </x:row>
    <x:row r="51" ht="32" customHeight="1">
      <x:c r="C51" s="2" t="str">
        <x:v>Additional fixed sale costs</x:v>
      </x:c>
      <x:c r="D51" s="2"/>
      <x:c r="E51" s="22" t="n">
        <x:v>0</x:v>
      </x:c>
      <x:c r="F51" s="2"/>
      <x:c r="G51" s="6" t="str">
        <x:v>Cash legal, transfer and other fixed exit costs not already included in the selling-cost percentage.</x:v>
      </x:c>
    </x:row>
    <x:row r="52" ht="41" customHeight="1">
      <x:c r="C52" s="2" t="str">
        <x:v>Exit loan payoff / prepayment fee</x:v>
      </x:c>
      <x:c r="D52" s="2"/>
      <x:c r="E52" s="22" t="n">
        <x:v>0</x:v>
      </x:c>
      <x:c r="F52" s="2"/>
      <x:c r="G52" s="6" t="str">
        <x:v>Fixed cash charge at sale. Verify the loan contract. Not applied to an earlier maturity balloon.</x:v>
      </x:c>
    </x:row>
    <x:row r="53" ht="23" customHeight="1">
      <x:c r="C53" s="2"/>
      <x:c r="D53" s="2"/>
      <x:c r="E53" s="2"/>
      <x:c r="F53" s="2"/>
      <x:c r="G53" s="2"/>
    </x:row>
    <x:row r="54" ht="23" customHeight="1">
      <x:c r="C54" s="2"/>
      <x:c r="D54" s="2"/>
      <x:c r="E54" s="2"/>
      <x:c r="F54" s="2"/>
      <x:c r="G54" s="2"/>
    </x:row>
    <x:row r="55" ht="24" customHeight="1">
      <x:c r="C55" s="8" t="str">
        <x:v>Optional LP / GP model</x:v>
      </x:c>
      <x:c r="D55" s="8"/>
      <x:c r="E55" s="8"/>
      <x:c r="F55" s="8"/>
      <x:c r="G55" s="8"/>
    </x:row>
    <x:row r="56" ht="32" customHeight="1">
      <x:c r="C56" s="2" t="str">
        <x:v>Optional investor model</x:v>
      </x:c>
      <x:c r="D56" s="2"/>
      <x:c r="E56" s="20" t="str">
        <x:v>Off</x:v>
      </x:c>
      <x:c r="F56" s="2"/>
      <x:c r="G56" s="6" t="str">
        <x:v>Off analyzes one owner. On includes the LP/GP waterfall and the sponsor fees below.</x:v>
      </x:c>
    </x:row>
    <x:row r="57" ht="32" customHeight="1">
      <x:c r="C57" s="2" t="str">
        <x:v>LP ownership / funding share</x:v>
      </x:c>
      <x:c r="D57" s="2"/>
      <x:c r="E57" s="23" t="n">
        <x:v>0.8</x:v>
      </x:c>
      <x:c r="F57" s="2"/>
      <x:c r="G57" s="6" t="str">
        <x:v>Illustrative. LPs fund this share of initial cash and later capital calls. GP share is the remainder.</x:v>
      </x:c>
    </x:row>
    <x:row r="58" ht="32" customHeight="1">
      <x:c r="C58" s="2" t="str">
        <x:v>GP promote on residual profit</x:v>
      </x:c>
      <x:c r="D58" s="2"/>
      <x:c r="E58" s="23" t="n">
        <x:v>0.2</x:v>
      </x:c>
      <x:c r="F58" s="2"/>
      <x:c r="G58" s="6" t="str">
        <x:v>Illustrative. LP residual share = LP ownership × (1 − promote). GP receives the remainder.</x:v>
      </x:c>
    </x:row>
    <x:row r="59" ht="41" customHeight="1">
      <x:c r="C59" s="2" t="str">
        <x:v>Annual LP preferred return</x:v>
      </x:c>
      <x:c r="D59" s="2"/>
      <x:c r="E59" s="23" t="n">
        <x:v>0.08</x:v>
      </x:c>
      <x:c r="F59" s="2"/>
      <x:c r="G59" s="6" t="str">
        <x:v>Original 8% assumption. Cumulative, simple, noncompounding priority. Paid only from available cash.</x:v>
      </x:c>
    </x:row>
    <x:row r="60" ht="32" customHeight="1">
      <x:c r="C60" s="2" t="str">
        <x:v>Individual LP initial investment</x:v>
      </x:c>
      <x:c r="D60" s="2"/>
      <x:c r="E60" s="22" t="n">
        <x:v>10000</x:v>
      </x:c>
      <x:c r="F60" s="2"/>
      <x:c r="G60" s="6" t="str">
        <x:v>Optional illustration for one LP. Must not exceed the calculated LP capital pool. Extra calls are allocated pro rata.</x:v>
      </x:c>
    </x:row>
    <x:row r="61" ht="32" customHeight="1">
      <x:c r="C61" s="2" t="str">
        <x:v>Sponsor acquisition fee</x:v>
      </x:c>
      <x:c r="D61" s="2"/>
      <x:c r="E61" s="23" t="n">
        <x:v>0</x:v>
      </x:c>
      <x:c r="F61" s="2"/>
      <x:c r="G61" s="6" t="str">
        <x:v>Percent of purchase price. Included in upfront cash required only when investor model is On.</x:v>
      </x:c>
    </x:row>
    <x:row r="62" ht="32" customHeight="1">
      <x:c r="C62" s="2" t="str">
        <x:v>Sponsor annual asset-management fee</x:v>
      </x:c>
      <x:c r="D62" s="2"/>
      <x:c r="E62" s="23" t="n">
        <x:v>0</x:v>
      </x:c>
      <x:c r="F62" s="2"/>
      <x:c r="G62" s="6" t="str">
        <x:v>Percent of effective income. Deducted below NOI only when investor model is On.</x:v>
      </x:c>
    </x:row>
    <x:row r="63" ht="32" customHeight="1">
      <x:c r="C63" s="2" t="str">
        <x:v>Sponsor exit fee</x:v>
      </x:c>
      <x:c r="D63" s="2"/>
      <x:c r="E63" s="23" t="n">
        <x:v>0</x:v>
      </x:c>
      <x:c r="F63" s="2"/>
      <x:c r="G63" s="6" t="str">
        <x:v>Percent of gross sale value. Deducted before investor sale distributions when model is On.</x:v>
      </x:c>
    </x:row>
    <x:row r="64" ht="23" customHeight="1">
      <x:c r="C64" s="2"/>
      <x:c r="D64" s="2"/>
      <x:c r="E64" s="2"/>
      <x:c r="F64" s="2"/>
      <x:c r="G64" s="2"/>
    </x:row>
    <x:row r="65" ht="23" customHeight="1">
      <x:c r="C65" s="2"/>
      <x:c r="D65" s="2"/>
      <x:c r="E65" s="2"/>
      <x:c r="F65" s="2"/>
      <x:c r="G65" s="2"/>
    </x:row>
    <x:row r="66" ht="24" customHeight="1">
      <x:c r="C66" s="8" t="str">
        <x:v>Educational review thresholds</x:v>
      </x:c>
      <x:c r="D66" s="8"/>
      <x:c r="E66" s="8"/>
      <x:c r="F66" s="8"/>
      <x:c r="G66" s="8"/>
    </x:row>
    <x:row r="67" ht="32" customHeight="1">
      <x:c r="C67" s="2" t="str">
        <x:v>Cash-on-cash review target</x:v>
      </x:c>
      <x:c r="D67" s="2"/>
      <x:c r="E67" s="23" t="n">
        <x:v>0.08</x:v>
      </x:c>
      <x:c r="F67" s="2"/>
      <x:c r="G67" s="6" t="str">
        <x:v>Educational comparison threshold, not a recommended or guaranteed return.</x:v>
      </x:c>
    </x:row>
    <x:row r="68" ht="32" customHeight="1">
      <x:c r="C68" s="2" t="str">
        <x:v>High-vacancy review threshold</x:v>
      </x:c>
      <x:c r="D68" s="2"/>
      <x:c r="E68" s="23" t="n">
        <x:v>0.15</x:v>
      </x:c>
      <x:c r="F68" s="2"/>
      <x:c r="G68" s="6" t="str">
        <x:v>Assumptions at or above this level receive an attention flag. Low vacancy still needs verification.</x:v>
      </x:c>
    </x:row>
    <x:row r="69" ht="32" customHeight="1">
      <x:c r="C69" s="2" t="str">
        <x:v>High-leverage review threshold</x:v>
      </x:c>
      <x:c r="D69" s="2"/>
      <x:c r="E69" s="23" t="n">
        <x:v>0.8</x:v>
      </x:c>
      <x:c r="F69" s="2"/>
      <x:c r="G69" s="6" t="str">
        <x:v>Loan / purchase price at or above this level receives an attention flag.</x:v>
      </x:c>
    </x:row>
    <x:row r="70" ht="32" customHeight="1">
      <x:c r="C70" s="2" t="str">
        <x:v>Stronger DSCR threshold</x:v>
      </x:c>
      <x:c r="D70" s="2"/>
      <x:c r="E70" s="27" t="n">
        <x:v>1.2</x:v>
      </x:c>
      <x:c r="F70" s="2"/>
      <x:c r="G70" s="6" t="str">
        <x:v>Below 1.00x: Needs Attention. 1.00x to this threshold: Moderate. A lender may use different adjustments.</x:v>
      </x:c>
    </x:row>
    <x:row r="71" ht="23" customHeight="1">
      <x:c r="C71" s="2"/>
      <x:c r="D71" s="2"/>
      <x:c r="E71" s="2"/>
      <x:c r="F71" s="2"/>
      <x:c r="G71" s="2"/>
    </x:row>
    <x:row r="72" ht="23" customHeight="1">
      <x:c r="C72" s="2"/>
      <x:c r="D72" s="2"/>
      <x:c r="E72" s="2"/>
      <x:c r="F72" s="2"/>
      <x:c r="G72" s="2"/>
    </x:row>
    <x:row r="73" ht="24" customHeight="1">
      <x:c r="C73" s="8" t="str">
        <x:v>Input review</x:v>
      </x:c>
      <x:c r="D73" s="8"/>
      <x:c r="E73" s="8"/>
      <x:c r="F73" s="8"/>
      <x:c r="G73" s="8"/>
    </x:row>
    <x:row r="74" ht="34" customHeight="1">
      <x:c r="C74" s="2" t="str">
        <x:v>Required numeric fields</x:v>
      </x:c>
      <x:c r="D74" s="2"/>
      <x:c r="E74" s="29" t="str">
        <x:f>IF(COUNT(E10,E11,E12,E17,E18,E19,E20,E21,E24,E25,E26,E27,E28,E29,E30,E31,E32,E33,E34,E35,E36,E40,E41,E42,E45,E49,E51,E52,E57,E58,E59,E60,E61,E62,E63,E67,E68,E69,E70)=39,"Complete","Needs Attention")</x:f>
        <x:v>Complete</x:v>
      </x:c>
      <x:c r="F74" s="2"/>
      <x:c r="G74" s="30" t="str">
        <x:v>Blank required fields can be interpreted as zero by Excel. Restore a numeric value before relying on results.</x:v>
      </x:c>
    </x:row>
    <x:row r="75" ht="34" customHeight="1">
      <x:c r="C75" s="2" t="str">
        <x:v>Core assumption ranges</x:v>
      </x:c>
      <x:c r="D75" s="2"/>
      <x:c r="E75" s="29" t="str">
        <x:f>IF(OR(E10&lt;=0,E17&lt;0,E17&gt;1,E18&lt;0,E19&lt;1,E19&gt;30,MOD(E19,1)&lt;&gt;0,E20&lt;1,E20&gt;30,MOD(E20,1)&lt;&gt;0,E45&lt;1,E45&gt;30,MOD(E45,1)&lt;&gt;0,E26&lt;0,E26&gt;1,E27&lt;0,E27&gt;=1,E40&lt;=-1,E41&lt;=-1,E42&lt;=-1,E49&lt;0,E49&gt;1,E57&lt;=0,E57&gt;1,E58&lt;0,E58&gt;1,E62&lt;0,E27+IF(E56="On",E62,0)&gt;=1),"Needs Attention","Within ranges")</x:f>
        <x:v>Within ranges</x:v>
      </x:c>
      <x:c r="F75" s="2"/>
      <x:c r="G75" s="30" t="str">
        <x:v>Check price, loan periods, vacancy, percentages and fee rates. Growth must be greater than −100%.</x:v>
      </x:c>
    </x:row>
    <x:row r="76" ht="23" customHeight="1">
      <x:c r="C76" s="2" t="str">
        <x:v>Loan maturity after amortization</x:v>
      </x:c>
      <x:c r="D76" s="2"/>
      <x:c r="E76" s="29" t="str">
        <x:f>IF(E19&gt;E20,"Moderate","Within ranges")</x:f>
        <x:v>Within ranges</x:v>
      </x:c>
      <x:c r="F76" s="2"/>
      <x:c r="G76" s="2" t="str">
        <x:v>If maturity exceeds amortization, the loan is paid off at the amortization date.</x:v>
      </x:c>
    </x:row>
    <x:row r="77" ht="23" customHeight="1">
      <x:c r="C77" s="2"/>
      <x:c r="D77" s="2"/>
      <x:c r="E77" s="2"/>
      <x:c r="F77" s="2"/>
      <x:c r="G77" s="2"/>
    </x:row>
    <x:row r="78" ht="23" customHeight="1">
      <x:c r="C78" s="2"/>
      <x:c r="D78" s="2"/>
      <x:c r="E78" s="2"/>
      <x:c r="F78" s="2"/>
      <x:c r="G78" s="2"/>
    </x:row>
    <x:row r="79" ht="34" customHeight="1">
      <x:c r="C79" s="6" t="str">
        <x:v>Blue text on amber = editable input. Green text = cross-sheet link. Dark text = calculation. Red or amber flags identify review items.</x:v>
      </x:c>
      <x:c r="D79" s="6"/>
      <x:c r="E79" s="6"/>
      <x:c r="F79" s="6"/>
      <x:c r="G79" s="6"/>
    </x:row>
    <x:row r="80" ht="23" customHeight="1">
      <x:c r="C80" s="2"/>
      <x:c r="D80" s="2"/>
      <x:c r="E80" s="2"/>
      <x:c r="F80" s="2"/>
      <x:c r="G80" s="2"/>
    </x:row>
    <x:row r="81" ht="34" customHeight="1">
      <x:c r="C81" s="6" t="str">
        <x:v>The loaded example retains several historical source assumptions and adds labeled placeholders. It is not a live property listing, current loan quote or recommended investment.</x:v>
      </x:c>
      <x:c r="D81" s="6"/>
      <x:c r="E81" s="6"/>
      <x:c r="F81" s="6"/>
      <x:c r="G81" s="6"/>
    </x:row>
    <x:row r="82" ht="34" customHeight="1">
      <x:c r="C82" s="6"/>
      <x:c r="D82" s="6"/>
      <x:c r="E82" s="6"/>
      <x:c r="F82" s="6"/>
      <x:c r="G82" s="6"/>
    </x:row>
    <x:row r="83" ht="23" customHeight="1">
      <x:c r="C83" s="2"/>
      <x:c r="D83" s="2"/>
      <x:c r="E83" s="2"/>
      <x:c r="F83" s="2"/>
      <x:c r="G83" s="2"/>
    </x:row>
    <x:row r="84" ht="23" customHeight="1">
      <x:c r="C84" s="2"/>
      <x:c r="D84" s="2"/>
      <x:c r="E84" s="2"/>
      <x:c r="F84" s="2"/>
      <x:c r="G84" s="2"/>
    </x:row>
  </x:sheetData>
  <x:mergeCells>
    <x:mergeCell ref="C2:G2"/>
    <x:mergeCell ref="C4:G4"/>
    <x:mergeCell ref="C79:G79"/>
    <x:mergeCell ref="C81:G82"/>
  </x:mergeCells>
  <x:conditionalFormatting sqref="E74:E76">
    <x:cfRule type="containsText" dxfId="0" priority="1" operator="containsText" text="Needs Attention"/>
    <x:cfRule type="containsText" dxfId="1" priority="2" operator="containsText" text="Moderate"/>
    <x:cfRule type="containsText" dxfId="2" priority="3" operator="containsText" text="Stronger"/>
  </x:conditionalFormatting>
  <x:dataValidations count="42">
    <x:dataValidation type="list" sqref="E56">
      <x:formula1>"Off,On"</x:formula1>
    </x:dataValidation>
    <x:dataValidation type="decimal" operator="between" sqref="E17">
      <x:formula1>0</x:formula1>
      <x:formula2>1</x:formula2>
    </x:dataValidation>
    <x:dataValidation type="decimal" operator="between" sqref="E26">
      <x:formula1>0</x:formula1>
      <x:formula2>1</x:formula2>
    </x:dataValidation>
    <x:dataValidation type="decimal" operator="between" sqref="E27">
      <x:formula1>0</x:formula1>
      <x:formula2>1</x:formula2>
    </x:dataValidation>
    <x:dataValidation type="decimal" operator="between" sqref="E49">
      <x:formula1>0</x:formula1>
      <x:formula2>1</x:formula2>
    </x:dataValidation>
    <x:dataValidation type="decimal" operator="between" sqref="E57">
      <x:formula1>0</x:formula1>
      <x:formula2>1</x:formula2>
    </x:dataValidation>
    <x:dataValidation type="decimal" operator="between" sqref="E58">
      <x:formula1>0</x:formula1>
      <x:formula2>1</x:formula2>
    </x:dataValidation>
    <x:dataValidation type="decimal" operator="between" sqref="E59">
      <x:formula1>0</x:formula1>
      <x:formula2>1</x:formula2>
    </x:dataValidation>
    <x:dataValidation type="decimal" operator="between" sqref="E61">
      <x:formula1>0</x:formula1>
      <x:formula2>1</x:formula2>
    </x:dataValidation>
    <x:dataValidation type="decimal" operator="between" sqref="E62">
      <x:formula1>0</x:formula1>
      <x:formula2>1</x:formula2>
    </x:dataValidation>
    <x:dataValidation type="decimal" operator="between" sqref="E63">
      <x:formula1>0</x:formula1>
      <x:formula2>1</x:formula2>
    </x:dataValidation>
    <x:dataValidation type="decimal" operator="between" sqref="E67">
      <x:formula1>0</x:formula1>
      <x:formula2>1</x:formula2>
    </x:dataValidation>
    <x:dataValidation type="decimal" operator="between" sqref="E68">
      <x:formula1>0</x:formula1>
      <x:formula2>1</x:formula2>
    </x:dataValidation>
    <x:dataValidation type="decimal" operator="between" sqref="E69">
      <x:formula1>0</x:formula1>
      <x:formula2>1</x:formula2>
    </x:dataValidation>
    <x:dataValidation type="whole" operator="between" sqref="E19">
      <x:formula1>1</x:formula1>
      <x:formula2>30</x:formula2>
    </x:dataValidation>
    <x:dataValidation type="whole" operator="between" sqref="E20">
      <x:formula1>1</x:formula1>
      <x:formula2>30</x:formula2>
    </x:dataValidation>
    <x:dataValidation type="whole" operator="between" sqref="E45">
      <x:formula1>1</x:formula1>
      <x:formula2>30</x:formula2>
    </x:dataValidation>
    <x:dataValidation type="decimal" operator="greaterThan" sqref="E40">
      <x:formula1>-1</x:formula1>
    </x:dataValidation>
    <x:dataValidation type="decimal" operator="greaterThan" sqref="E41">
      <x:formula1>-1</x:formula1>
    </x:dataValidation>
    <x:dataValidation type="decimal" operator="greaterThan" sqref="E42">
      <x:formula1>-1</x:formula1>
    </x:dataValidation>
    <x:dataValidation type="decimal" operator="greaterThanOrEqual" sqref="E10">
      <x:formula1>0</x:formula1>
    </x:dataValidation>
    <x:dataValidation type="decimal" operator="greaterThanOrEqual" sqref="E11">
      <x:formula1>0</x:formula1>
    </x:dataValidation>
    <x:dataValidation type="decimal" operator="greaterThanOrEqual" sqref="E12">
      <x:formula1>0</x:formula1>
    </x:dataValidation>
    <x:dataValidation type="decimal" operator="greaterThanOrEqual" sqref="E13">
      <x:formula1>0</x:formula1>
    </x:dataValidation>
    <x:dataValidation type="decimal" operator="greaterThanOrEqual" sqref="E18">
      <x:formula1>0</x:formula1>
    </x:dataValidation>
    <x:dataValidation type="decimal" operator="greaterThanOrEqual" sqref="E21">
      <x:formula1>0</x:formula1>
    </x:dataValidation>
    <x:dataValidation type="decimal" operator="greaterThanOrEqual" sqref="E24">
      <x:formula1>0</x:formula1>
    </x:dataValidation>
    <x:dataValidation type="decimal" operator="greaterThanOrEqual" sqref="E25">
      <x:formula1>0</x:formula1>
    </x:dataValidation>
    <x:dataValidation type="decimal" operator="greaterThanOrEqual" sqref="E28">
      <x:formula1>0</x:formula1>
    </x:dataValidation>
    <x:dataValidation type="decimal" operator="greaterThanOrEqual" sqref="E29">
      <x:formula1>0</x:formula1>
    </x:dataValidation>
    <x:dataValidation type="decimal" operator="greaterThanOrEqual" sqref="E30">
      <x:formula1>0</x:formula1>
    </x:dataValidation>
    <x:dataValidation type="decimal" operator="greaterThanOrEqual" sqref="E31">
      <x:formula1>0</x:formula1>
    </x:dataValidation>
    <x:dataValidation type="decimal" operator="greaterThanOrEqual" sqref="E32">
      <x:formula1>0</x:formula1>
    </x:dataValidation>
    <x:dataValidation type="decimal" operator="greaterThanOrEqual" sqref="E33">
      <x:formula1>0</x:formula1>
    </x:dataValidation>
    <x:dataValidation type="decimal" operator="greaterThanOrEqual" sqref="E34">
      <x:formula1>0</x:formula1>
    </x:dataValidation>
    <x:dataValidation type="decimal" operator="greaterThanOrEqual" sqref="E35">
      <x:formula1>0</x:formula1>
    </x:dataValidation>
    <x:dataValidation type="decimal" operator="greaterThanOrEqual" sqref="E36">
      <x:formula1>0</x:formula1>
    </x:dataValidation>
    <x:dataValidation type="decimal" operator="greaterThanOrEqual" sqref="E50">
      <x:formula1>0</x:formula1>
    </x:dataValidation>
    <x:dataValidation type="decimal" operator="greaterThanOrEqual" sqref="E51">
      <x:formula1>0</x:formula1>
    </x:dataValidation>
    <x:dataValidation type="decimal" operator="greaterThanOrEqual" sqref="E52">
      <x:formula1>0</x:formula1>
    </x:dataValidation>
    <x:dataValidation type="decimal" operator="greaterThanOrEqual" sqref="E60">
      <x:formula1>0</x:formula1>
    </x:dataValidation>
    <x:dataValidation type="decimal" operator="greaterThanOrEqual" sqref="E70">
      <x:formula1>0</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200000047683716" hidden="0" customWidth="1"/>
    <x:col min="2" max="2" width="2.200000047683716" hidden="0" customWidth="1"/>
    <x:col min="3" max="3" width="39" hidden="0" customWidth="1"/>
    <x:col min="4" max="4" width="2" hidden="0" customWidth="1"/>
    <x:col min="5" max="5" width="19" hidden="0" customWidth="1"/>
    <x:col min="6" max="6" width="2" hidden="0" customWidth="1"/>
    <x:col min="7" max="7" width="3" hidden="0" customWidth="1"/>
    <x:col min="8" max="8" width="8" hidden="0" customWidth="1"/>
    <x:col min="9" max="9" width="17" hidden="0" customWidth="1"/>
    <x:col min="10" max="10" width="17" hidden="0" customWidth="1"/>
    <x:col min="11" max="11" width="17" hidden="0" customWidth="1"/>
    <x:col min="12" max="12" width="11" hidden="0" customWidth="1"/>
    <x:col min="13" max="13" width="11" hidden="0" customWidth="1"/>
    <x:col min="14" max="14" width="18" hidden="0" customWidth="1"/>
    <x:col min="15" max="15" width="18" hidden="0" customWidth="1"/>
    <x:col min="16" max="16" width="3" hidden="0" customWidth="1"/>
  </x:cols>
  <x:sheetData>
    <x:row r="2" ht="31" customHeight="1">
      <x:c r="C2" s="3" t="str">
        <x:v>Property economics</x:v>
      </x:c>
      <x:c r="D2" s="3"/>
      <x:c r="E2" s="3"/>
      <x:c r="F2" s="3"/>
      <x:c r="G2" s="3"/>
      <x:c r="H2" s="3"/>
      <x:c r="I2" s="3"/>
      <x:c r="J2" s="3"/>
      <x:c r="K2" s="3"/>
      <x:c r="L2" s="3"/>
      <x:c r="M2" s="3"/>
      <x:c r="N2" s="3"/>
      <x:c r="O2" s="3"/>
      <x:c r="P2" s="2"/>
    </x:row>
    <x:row r="3" ht="23" customHeight="1">
      <x:c r="C3" s="4"/>
      <x:c r="D3" s="4"/>
      <x:c r="E3" s="4"/>
      <x:c r="F3" s="4"/>
      <x:c r="G3" s="4"/>
      <x:c r="H3" s="4"/>
      <x:c r="I3" s="4"/>
      <x:c r="J3" s="4"/>
      <x:c r="K3" s="4"/>
      <x:c r="L3" s="4"/>
      <x:c r="M3" s="4"/>
      <x:c r="N3" s="4"/>
      <x:c r="O3" s="4"/>
      <x:c r="P3" s="2"/>
    </x:row>
    <x:row r="4" ht="29" customHeight="1">
      <x:c r="C4" s="6" t="str">
        <x:v>Property-level results include all modeled costs and selected sponsor fees, before any LP/GP distribution split. Annual cash flows occur at year-end.</x:v>
      </x:c>
      <x:c r="D4" s="6"/>
      <x:c r="E4" s="6"/>
      <x:c r="F4" s="6"/>
      <x:c r="G4" s="6"/>
      <x:c r="H4" s="6"/>
      <x:c r="I4" s="6"/>
      <x:c r="J4" s="6"/>
      <x:c r="K4" s="6"/>
      <x:c r="L4" s="6"/>
      <x:c r="M4" s="6"/>
      <x:c r="N4" s="6"/>
      <x:c r="O4" s="6"/>
      <x:c r="P4" s="2"/>
    </x:row>
    <x:row r="5" ht="23" customHeight="1">
      <x:c r="C5" s="2"/>
      <x:c r="D5" s="2"/>
      <x:c r="E5" s="2"/>
      <x:c r="F5" s="2"/>
      <x:c r="G5" s="2"/>
      <x:c r="H5" s="2"/>
      <x:c r="I5" s="2"/>
      <x:c r="J5" s="2"/>
      <x:c r="K5" s="2"/>
      <x:c r="L5" s="2"/>
      <x:c r="M5" s="2"/>
      <x:c r="N5" s="2"/>
      <x:c r="O5" s="2"/>
      <x:c r="P5" s="2"/>
    </x:row>
    <x:row r="6" ht="24" customHeight="1">
      <x:c r="C6" s="8" t="str">
        <x:v>Acquisition &amp; funding</x:v>
      </x:c>
      <x:c r="D6" s="8"/>
      <x:c r="E6" s="8"/>
      <x:c r="F6" s="2"/>
      <x:c r="G6" s="2"/>
      <x:c r="H6" s="8" t="str">
        <x:v>Owner cash-flow stream</x:v>
      </x:c>
      <x:c r="I6" s="8"/>
      <x:c r="J6" s="8"/>
      <x:c r="K6" s="8"/>
      <x:c r="L6" s="8"/>
      <x:c r="M6" s="8"/>
      <x:c r="N6" s="8"/>
      <x:c r="O6" s="8"/>
      <x:c r="P6" s="2"/>
    </x:row>
    <x:row r="7" ht="41" customHeight="1">
      <x:c r="C7" s="2" t="str">
        <x:v>Purchase price</x:v>
      </x:c>
      <x:c r="D7" s="2"/>
      <x:c r="E7" s="33" t="n">
        <x:f>'Inputs'!$E$10</x:f>
        <x:v>219900</x:v>
      </x:c>
      <x:c r="F7" s="2"/>
      <x:c r="G7" s="2"/>
      <x:c r="H7" s="15" t="str">
        <x:v>Year</x:v>
      </x:c>
      <x:c r="I7" s="16" t="str">
        <x:v>Operating CF</x:v>
      </x:c>
      <x:c r="J7" s="16" t="str">
        <x:v>Net sale CF</x:v>
      </x:c>
      <x:c r="K7" s="16" t="str">
        <x:v>Net cash flow</x:v>
      </x:c>
      <x:c r="L7" s="16" t="str">
        <x:v>Last sign</x:v>
      </x:c>
      <x:c r="M7" s="16" t="str">
        <x:v>Sign change</x:v>
      </x:c>
      <x:c r="N7" s="16" t="str">
        <x:v>Capital in</x:v>
      </x:c>
      <x:c r="O7" s="17" t="str">
        <x:v>Cash out</x:v>
      </x:c>
      <x:c r="P7" s="2"/>
    </x:row>
    <x:row r="8" ht="23" customHeight="1">
      <x:c r="C8" s="2" t="str">
        <x:v>Acquisition closing costs</x:v>
      </x:c>
      <x:c r="D8" s="2"/>
      <x:c r="E8" s="33" t="n">
        <x:f>'Inputs'!$E$11</x:f>
        <x:v>4398</x:v>
      </x:c>
      <x:c r="F8" s="2"/>
      <x:c r="G8" s="2"/>
      <x:c r="H8" s="47" t="n">
        <x:v>0</x:v>
      </x:c>
      <x:c r="I8" s="35" t="n">
        <x:v>0</x:v>
      </x:c>
      <x:c r="J8" s="35" t="n">
        <x:v>0</x:v>
      </x:c>
      <x:c r="K8" s="35" t="n">
        <x:f>-E14</x:f>
        <x:v>-17482.04999999999</x:v>
      </x:c>
      <x:c r="L8" s="47" t="n">
        <x:f>IF(K8=0,0,SIGN(K8))</x:f>
        <x:v>-1</x:v>
      </x:c>
      <x:c r="M8" s="47" t="n">
        <x:v>0</x:v>
      </x:c>
      <x:c r="N8" s="35" t="n">
        <x:f>E14</x:f>
        <x:v>17482.04999999999</x:v>
      </x:c>
      <x:c r="O8" s="35" t="n">
        <x:v>0</x:v>
      </x:c>
      <x:c r="P8" s="2"/>
    </x:row>
    <x:row r="9" ht="23" customHeight="1">
      <x:c r="C9" s="2" t="str">
        <x:v>Initial renovation / capital work</x:v>
      </x:c>
      <x:c r="D9" s="2"/>
      <x:c r="E9" s="33" t="n">
        <x:f>'Inputs'!$E$12</x:f>
        <x:v>0</x:v>
      </x:c>
      <x:c r="F9" s="2"/>
      <x:c r="G9" s="2"/>
      <x:c r="H9" s="47" t="n">
        <x:f>IF(1&lt;='Inputs'!$E$45,1,"")</x:f>
        <x:v>1</x:v>
      </x:c>
      <x:c r="I9" s="35" t="n">
        <x:f>IF(H9="","",'Annual Projection'!N10)</x:f>
        <x:v>3139.3668697021185</x:v>
      </x:c>
      <x:c r="J9" s="35" t="n">
        <x:f>IF(H9="","",IF(H9='Inputs'!$E$45,$E$48,0))</x:f>
        <x:v>0</x:v>
      </x:c>
      <x:c r="K9" s="35" t="n">
        <x:f>IF(H9="",0,SUM(I9:J9))</x:f>
        <x:v>3139.3668697021185</x:v>
      </x:c>
      <x:c r="L9" s="47" t="n">
        <x:f>IF(H9="","",IF(K9=0,L8,SIGN(K9)))</x:f>
        <x:v>1</x:v>
      </x:c>
      <x:c r="M9" s="47" t="n">
        <x:f>IF(H9="","",IF(AND(K9&lt;&gt;0,L8&lt;&gt;0,L9&lt;&gt;L8),1,0))</x:f>
        <x:v>1</x:v>
      </x:c>
      <x:c r="N9" s="35" t="n">
        <x:f>IF(H9="","",MAX(0,-I9)+MAX(0,-J9))</x:f>
        <x:v>0</x:v>
      </x:c>
      <x:c r="O9" s="35" t="n">
        <x:f>IF(H9="","",MAX(0,I9)+MAX(0,J9))</x:f>
        <x:v>3139.3668697021185</x:v>
      </x:c>
      <x:c r="P9" s="2"/>
    </x:row>
    <x:row r="10" ht="23" customHeight="1">
      <x:c r="C10" s="2" t="str">
        <x:v>Upfront financing fees</x:v>
      </x:c>
      <x:c r="D10" s="2"/>
      <x:c r="E10" s="33" t="n">
        <x:f>'Inputs'!$E$21</x:f>
        <x:v>2089.05</x:v>
      </x:c>
      <x:c r="F10" s="2"/>
      <x:c r="G10" s="2"/>
      <x:c r="H10" s="47" t="n">
        <x:f>IF(2&lt;='Inputs'!$E$45,2,"")</x:f>
        <x:v>2</x:v>
      </x:c>
      <x:c r="I10" s="35" t="n">
        <x:f>IF(H10="","",'Annual Projection'!N11)</x:f>
        <x:v>3560.8482697021172</x:v>
      </x:c>
      <x:c r="J10" s="35" t="n">
        <x:f>IF(H10="","",IF(H10='Inputs'!$E$45,$E$48,0))</x:f>
        <x:v>0</x:v>
      </x:c>
      <x:c r="K10" s="35" t="n">
        <x:f>IF(H10="",0,SUM(I10:J10))</x:f>
        <x:v>3560.8482697021172</x:v>
      </x:c>
      <x:c r="L10" s="47" t="n">
        <x:f>IF(H10="","",IF(K10=0,L9,SIGN(K10)))</x:f>
        <x:v>1</x:v>
      </x:c>
      <x:c r="M10" s="47" t="n">
        <x:f>IF(H10="","",IF(AND(K10&lt;&gt;0,L9&lt;&gt;0,L10&lt;&gt;L9),1,0))</x:f>
        <x:v>0</x:v>
      </x:c>
      <x:c r="N10" s="35" t="n">
        <x:f>IF(H10="","",MAX(0,-I10)+MAX(0,-J10))</x:f>
        <x:v>0</x:v>
      </x:c>
      <x:c r="O10" s="35" t="n">
        <x:f>IF(H10="","",MAX(0,I10)+MAX(0,J10))</x:f>
        <x:v>3560.8482697021172</x:v>
      </x:c>
      <x:c r="P10" s="2"/>
    </x:row>
    <x:row r="11" ht="23" customHeight="1">
      <x:c r="C11" s="2" t="str">
        <x:v>Sponsor acquisition fee</x:v>
      </x:c>
      <x:c r="D11" s="2"/>
      <x:c r="E11" s="33" t="n">
        <x:f>IF('Inputs'!$E$56="On",E7*'Inputs'!$E$61,0)</x:f>
        <x:v>0</x:v>
      </x:c>
      <x:c r="F11" s="2"/>
      <x:c r="G11" s="2"/>
      <x:c r="H11" s="47" t="n">
        <x:f>IF(3&lt;='Inputs'!$E$45,3,"")</x:f>
        <x:v>3</x:v>
      </x:c>
      <x:c r="I11" s="35" t="n">
        <x:f>IF(H11="","",'Annual Projection'!N12)</x:f>
        <x:v>3994.9741117021204</x:v>
      </x:c>
      <x:c r="J11" s="35" t="n">
        <x:f>IF(H11="","",IF(H11='Inputs'!$E$45,$E$48,0))</x:f>
        <x:v>0</x:v>
      </x:c>
      <x:c r="K11" s="35" t="n">
        <x:f>IF(H11="",0,SUM(I11:J11))</x:f>
        <x:v>3994.9741117021204</x:v>
      </x:c>
      <x:c r="L11" s="47" t="n">
        <x:f>IF(H11="","",IF(K11=0,L10,SIGN(K11)))</x:f>
        <x:v>1</x:v>
      </x:c>
      <x:c r="M11" s="47" t="n">
        <x:f>IF(H11="","",IF(AND(K11&lt;&gt;0,L10&lt;&gt;0,L11&lt;&gt;L10),1,0))</x:f>
        <x:v>0</x:v>
      </x:c>
      <x:c r="N11" s="35" t="n">
        <x:f>IF(H11="","",MAX(0,-I11)+MAX(0,-J11))</x:f>
        <x:v>0</x:v>
      </x:c>
      <x:c r="O11" s="35" t="n">
        <x:f>IF(H11="","",MAX(0,I11)+MAX(0,J11))</x:f>
        <x:v>3994.9741117021204</x:v>
      </x:c>
      <x:c r="P11" s="2"/>
    </x:row>
    <x:row r="12" ht="23" customHeight="1">
      <x:c r="C12" s="52" t="str">
        <x:v>Total acquisition cash uses</x:v>
      </x:c>
      <x:c r="D12" s="52"/>
      <x:c r="E12" s="53" t="n">
        <x:f>SUM(E7:E11)</x:f>
        <x:v>226387.05</x:v>
      </x:c>
      <x:c r="F12" s="2"/>
      <x:c r="G12" s="2"/>
      <x:c r="H12" s="47" t="n">
        <x:f>IF(4&lt;='Inputs'!$E$45,4,"")</x:f>
        <x:v>4</x:v>
      </x:c>
      <x:c r="I12" s="35" t="n">
        <x:f>IF(H12="","",'Annual Projection'!N13)</x:f>
        <x:v>4442.123728962122</x:v>
      </x:c>
      <x:c r="J12" s="35" t="n">
        <x:f>IF(H12="","",IF(H12='Inputs'!$E$45,$E$48,0))</x:f>
        <x:v>0</x:v>
      </x:c>
      <x:c r="K12" s="35" t="n">
        <x:f>IF(H12="",0,SUM(I12:J12))</x:f>
        <x:v>4442.123728962122</x:v>
      </x:c>
      <x:c r="L12" s="47" t="n">
        <x:f>IF(H12="","",IF(K12=0,L11,SIGN(K12)))</x:f>
        <x:v>1</x:v>
      </x:c>
      <x:c r="M12" s="47" t="n">
        <x:f>IF(H12="","",IF(AND(K12&lt;&gt;0,L11&lt;&gt;0,L12&lt;&gt;L11),1,0))</x:f>
        <x:v>0</x:v>
      </x:c>
      <x:c r="N12" s="35" t="n">
        <x:f>IF(H12="","",MAX(0,-I12)+MAX(0,-J12))</x:f>
        <x:v>0</x:v>
      </x:c>
      <x:c r="O12" s="35" t="n">
        <x:f>IF(H12="","",MAX(0,I12)+MAX(0,J12))</x:f>
        <x:v>4442.123728962122</x:v>
      </x:c>
      <x:c r="P12" s="2"/>
    </x:row>
    <x:row r="13" ht="23" customHeight="1">
      <x:c r="C13" s="2" t="str">
        <x:v>Loan amount</x:v>
      </x:c>
      <x:c r="D13" s="2"/>
      <x:c r="E13" s="33" t="n">
        <x:f>E7*(1-'Inputs'!$E$17)</x:f>
        <x:v>208905</x:v>
      </x:c>
      <x:c r="F13" s="2"/>
      <x:c r="G13" s="2"/>
      <x:c r="H13" s="47" t="n">
        <x:f>IF(5&lt;='Inputs'!$E$45,5,"")</x:f>
        <x:v>5</x:v>
      </x:c>
      <x:c r="I13" s="35" t="n">
        <x:f>IF(H13="","",'Annual Projection'!N14)</x:f>
        <x:v>4902.68783473992</x:v>
      </x:c>
      <x:c r="J13" s="35" t="n">
        <x:f>IF(H13="","",IF(H13='Inputs'!$E$45,$E$48,0))</x:f>
        <x:v>53062.625282728055</x:v>
      </x:c>
      <x:c r="K13" s="35" t="n">
        <x:f>IF(H13="",0,SUM(I13:J13))</x:f>
        <x:v>57965.31311746797</x:v>
      </x:c>
      <x:c r="L13" s="47" t="n">
        <x:f>IF(H13="","",IF(K13=0,L12,SIGN(K13)))</x:f>
        <x:v>1</x:v>
      </x:c>
      <x:c r="M13" s="47" t="n">
        <x:f>IF(H13="","",IF(AND(K13&lt;&gt;0,L12&lt;&gt;0,L13&lt;&gt;L12),1,0))</x:f>
        <x:v>0</x:v>
      </x:c>
      <x:c r="N13" s="35" t="n">
        <x:f>IF(H13="","",MAX(0,-I13)+MAX(0,-J13))</x:f>
        <x:v>0</x:v>
      </x:c>
      <x:c r="O13" s="35" t="n">
        <x:f>IF(H13="","",MAX(0,I13)+MAX(0,J13))</x:f>
        <x:v>57965.31311746797</x:v>
      </x:c>
      <x:c r="P13" s="2"/>
    </x:row>
    <x:row r="14" ht="23" customHeight="1">
      <x:c r="C14" s="52" t="str">
        <x:v>Initial cash required</x:v>
      </x:c>
      <x:c r="D14" s="52"/>
      <x:c r="E14" s="53" t="n">
        <x:f>E12-E13</x:f>
        <x:v>17482.04999999999</x:v>
      </x:c>
      <x:c r="F14" s="2"/>
      <x:c r="G14" s="2"/>
      <x:c r="H14" s="47" t="str">
        <x:f>IF(6&lt;='Inputs'!$E$45,6,"")</x:f>
      </x:c>
      <x:c r="I14" s="35" t="str">
        <x:f>IF(H14="","",'Annual Projection'!N15)</x:f>
      </x:c>
      <x:c r="J14" s="35" t="str">
        <x:f>IF(H14="","",IF(H14='Inputs'!$E$45,$E$48,0))</x:f>
      </x:c>
      <x:c r="K14" s="35" t="n">
        <x:f>IF(H14="",0,SUM(I14:J14))</x:f>
        <x:v>0</x:v>
      </x:c>
      <x:c r="L14" s="47" t="str">
        <x:f>IF(H14="","",IF(K14=0,L13,SIGN(K14)))</x:f>
      </x:c>
      <x:c r="M14" s="47" t="str">
        <x:f>IF(H14="","",IF(AND(K14&lt;&gt;0,L13&lt;&gt;0,L14&lt;&gt;L13),1,0))</x:f>
      </x:c>
      <x:c r="N14" s="35" t="str">
        <x:f>IF(H14="","",MAX(0,-I14)+MAX(0,-J14))</x:f>
      </x:c>
      <x:c r="O14" s="35" t="str">
        <x:f>IF(H14="","",MAX(0,I14)+MAX(0,J14))</x:f>
      </x:c>
      <x:c r="P14" s="2"/>
    </x:row>
    <x:row r="15" ht="23" customHeight="1">
      <x:c r="C15" s="2" t="str">
        <x:v>Down payment</x:v>
      </x:c>
      <x:c r="D15" s="2"/>
      <x:c r="E15" s="35" t="n">
        <x:f>E7-E13</x:f>
        <x:v>10995</x:v>
      </x:c>
      <x:c r="F15" s="2"/>
      <x:c r="G15" s="2"/>
      <x:c r="H15" s="47" t="str">
        <x:f>IF(7&lt;='Inputs'!$E$45,7,"")</x:f>
      </x:c>
      <x:c r="I15" s="35" t="str">
        <x:f>IF(H15="","",'Annual Projection'!N16)</x:f>
      </x:c>
      <x:c r="J15" s="35" t="str">
        <x:f>IF(H15="","",IF(H15='Inputs'!$E$45,$E$48,0))</x:f>
      </x:c>
      <x:c r="K15" s="35" t="n">
        <x:f>IF(H15="",0,SUM(I15:J15))</x:f>
        <x:v>0</x:v>
      </x:c>
      <x:c r="L15" s="47" t="str">
        <x:f>IF(H15="","",IF(K15=0,L14,SIGN(K15)))</x:f>
      </x:c>
      <x:c r="M15" s="47" t="str">
        <x:f>IF(H15="","",IF(AND(K15&lt;&gt;0,L14&lt;&gt;0,L15&lt;&gt;L14),1,0))</x:f>
      </x:c>
      <x:c r="N15" s="35" t="str">
        <x:f>IF(H15="","",MAX(0,-I15)+MAX(0,-J15))</x:f>
      </x:c>
      <x:c r="O15" s="35" t="str">
        <x:f>IF(H15="","",MAX(0,I15)+MAX(0,J15))</x:f>
      </x:c>
      <x:c r="P15" s="2"/>
    </x:row>
    <x:row r="16" ht="23" customHeight="1">
      <x:c r="C16" s="2" t="str">
        <x:v>Initial value estimate</x:v>
      </x:c>
      <x:c r="D16" s="2"/>
      <x:c r="E16" s="33" t="n">
        <x:f>IF(ISBLANK('Inputs'!$E$13),E7,'Inputs'!$E$13)</x:f>
        <x:v>219900</x:v>
      </x:c>
      <x:c r="F16" s="2"/>
      <x:c r="G16" s="2"/>
      <x:c r="H16" s="47" t="str">
        <x:f>IF(8&lt;='Inputs'!$E$45,8,"")</x:f>
      </x:c>
      <x:c r="I16" s="35" t="str">
        <x:f>IF(H16="","",'Annual Projection'!N17)</x:f>
      </x:c>
      <x:c r="J16" s="35" t="str">
        <x:f>IF(H16="","",IF(H16='Inputs'!$E$45,$E$48,0))</x:f>
      </x:c>
      <x:c r="K16" s="35" t="n">
        <x:f>IF(H16="",0,SUM(I16:J16))</x:f>
        <x:v>0</x:v>
      </x:c>
      <x:c r="L16" s="47" t="str">
        <x:f>IF(H16="","",IF(K16=0,L15,SIGN(K16)))</x:f>
      </x:c>
      <x:c r="M16" s="47" t="str">
        <x:f>IF(H16="","",IF(AND(K16&lt;&gt;0,L15&lt;&gt;0,L16&lt;&gt;L15),1,0))</x:f>
      </x:c>
      <x:c r="N16" s="35" t="str">
        <x:f>IF(H16="","",MAX(0,-I16)+MAX(0,-J16))</x:f>
      </x:c>
      <x:c r="O16" s="35" t="str">
        <x:f>IF(H16="","",MAX(0,I16)+MAX(0,J16))</x:f>
      </x:c>
      <x:c r="P16" s="2"/>
    </x:row>
    <x:row r="17" ht="23" customHeight="1">
      <x:c r="C17" s="2" t="str">
        <x:v>Initial owner equity</x:v>
      </x:c>
      <x:c r="D17" s="2"/>
      <x:c r="E17" s="35" t="n">
        <x:f>E16-E13</x:f>
        <x:v>10995</x:v>
      </x:c>
      <x:c r="F17" s="2"/>
      <x:c r="G17" s="2"/>
      <x:c r="H17" s="47" t="str">
        <x:f>IF(9&lt;='Inputs'!$E$45,9,"")</x:f>
      </x:c>
      <x:c r="I17" s="35" t="str">
        <x:f>IF(H17="","",'Annual Projection'!N18)</x:f>
      </x:c>
      <x:c r="J17" s="35" t="str">
        <x:f>IF(H17="","",IF(H17='Inputs'!$E$45,$E$48,0))</x:f>
      </x:c>
      <x:c r="K17" s="35" t="n">
        <x:f>IF(H17="",0,SUM(I17:J17))</x:f>
        <x:v>0</x:v>
      </x:c>
      <x:c r="L17" s="47" t="str">
        <x:f>IF(H17="","",IF(K17=0,L16,SIGN(K17)))</x:f>
      </x:c>
      <x:c r="M17" s="47" t="str">
        <x:f>IF(H17="","",IF(AND(K17&lt;&gt;0,L16&lt;&gt;0,L17&lt;&gt;L16),1,0))</x:f>
      </x:c>
      <x:c r="N17" s="35" t="str">
        <x:f>IF(H17="","",MAX(0,-I17)+MAX(0,-J17))</x:f>
      </x:c>
      <x:c r="O17" s="35" t="str">
        <x:f>IF(H17="","",MAX(0,I17)+MAX(0,J17))</x:f>
      </x:c>
      <x:c r="P17" s="2"/>
    </x:row>
    <x:row r="18" ht="23" customHeight="1">
      <x:c r="C18" s="2" t="str">
        <x:v>Monthly principal &amp; interest</x:v>
      </x:c>
      <x:c r="D18" s="2"/>
      <x:c r="E18" s="33" t="n">
        <x:f>IF(E13=0,0,-PMT('Inputs'!$E$18/12,'Inputs'!$E$20*12,E13))</x:f>
        <x:v>909.1677608581567</x:v>
      </x:c>
      <x:c r="F18" s="2"/>
      <x:c r="G18" s="2"/>
      <x:c r="H18" s="47" t="str">
        <x:f>IF(10&lt;='Inputs'!$E$45,10,"")</x:f>
      </x:c>
      <x:c r="I18" s="35" t="str">
        <x:f>IF(H18="","",'Annual Projection'!N19)</x:f>
      </x:c>
      <x:c r="J18" s="35" t="str">
        <x:f>IF(H18="","",IF(H18='Inputs'!$E$45,$E$48,0))</x:f>
      </x:c>
      <x:c r="K18" s="35" t="n">
        <x:f>IF(H18="",0,SUM(I18:J18))</x:f>
        <x:v>0</x:v>
      </x:c>
      <x:c r="L18" s="47" t="str">
        <x:f>IF(H18="","",IF(K18=0,L17,SIGN(K18)))</x:f>
      </x:c>
      <x:c r="M18" s="47" t="str">
        <x:f>IF(H18="","",IF(AND(K18&lt;&gt;0,L17&lt;&gt;0,L18&lt;&gt;L17),1,0))</x:f>
      </x:c>
      <x:c r="N18" s="35" t="str">
        <x:f>IF(H18="","",MAX(0,-I18)+MAX(0,-J18))</x:f>
      </x:c>
      <x:c r="O18" s="35" t="str">
        <x:f>IF(H18="","",MAX(0,I18)+MAX(0,J18))</x:f>
      </x:c>
      <x:c r="P18" s="2"/>
    </x:row>
    <x:row r="19" ht="23" customHeight="1">
      <x:c r="C19" s="38" t="str">
        <x:v>Loan / purchase price</x:v>
      </x:c>
      <x:c r="D19" s="2"/>
      <x:c r="E19" s="39" t="n">
        <x:f>IF(E7=0,"n.a.",E13/E7)</x:f>
        <x:v>0.95</x:v>
      </x:c>
      <x:c r="F19" s="2"/>
      <x:c r="G19" s="2"/>
      <x:c r="H19" s="47" t="str">
        <x:f>IF(11&lt;='Inputs'!$E$45,11,"")</x:f>
      </x:c>
      <x:c r="I19" s="35" t="str">
        <x:f>IF(H19="","",'Annual Projection'!N20)</x:f>
      </x:c>
      <x:c r="J19" s="35" t="str">
        <x:f>IF(H19="","",IF(H19='Inputs'!$E$45,$E$48,0))</x:f>
      </x:c>
      <x:c r="K19" s="35" t="n">
        <x:f>IF(H19="",0,SUM(I19:J19))</x:f>
        <x:v>0</x:v>
      </x:c>
      <x:c r="L19" s="47" t="str">
        <x:f>IF(H19="","",IF(K19=0,L18,SIGN(K19)))</x:f>
      </x:c>
      <x:c r="M19" s="47" t="str">
        <x:f>IF(H19="","",IF(AND(K19&lt;&gt;0,L18&lt;&gt;0,L19&lt;&gt;L18),1,0))</x:f>
      </x:c>
      <x:c r="N19" s="35" t="str">
        <x:f>IF(H19="","",MAX(0,-I19)+MAX(0,-J19))</x:f>
      </x:c>
      <x:c r="O19" s="35" t="str">
        <x:f>IF(H19="","",MAX(0,I19)+MAX(0,J19))</x:f>
      </x:c>
      <x:c r="P19" s="2"/>
    </x:row>
    <x:row r="20" ht="23" customHeight="1">
      <x:c r="C20" s="2"/>
      <x:c r="D20" s="2"/>
      <x:c r="E20" s="2"/>
      <x:c r="F20" s="2"/>
      <x:c r="G20" s="2"/>
      <x:c r="H20" s="47" t="str">
        <x:f>IF(12&lt;='Inputs'!$E$45,12,"")</x:f>
      </x:c>
      <x:c r="I20" s="35" t="str">
        <x:f>IF(H20="","",'Annual Projection'!N21)</x:f>
      </x:c>
      <x:c r="J20" s="35" t="str">
        <x:f>IF(H20="","",IF(H20='Inputs'!$E$45,$E$48,0))</x:f>
      </x:c>
      <x:c r="K20" s="35" t="n">
        <x:f>IF(H20="",0,SUM(I20:J20))</x:f>
        <x:v>0</x:v>
      </x:c>
      <x:c r="L20" s="47" t="str">
        <x:f>IF(H20="","",IF(K20=0,L19,SIGN(K20)))</x:f>
      </x:c>
      <x:c r="M20" s="47" t="str">
        <x:f>IF(H20="","",IF(AND(K20&lt;&gt;0,L19&lt;&gt;0,L20&lt;&gt;L19),1,0))</x:f>
      </x:c>
      <x:c r="N20" s="35" t="str">
        <x:f>IF(H20="","",MAX(0,-I20)+MAX(0,-J20))</x:f>
      </x:c>
      <x:c r="O20" s="35" t="str">
        <x:f>IF(H20="","",MAX(0,I20)+MAX(0,J20))</x:f>
      </x:c>
      <x:c r="P20" s="2"/>
    </x:row>
    <x:row r="21" ht="24" customHeight="1">
      <x:c r="C21" s="8" t="str">
        <x:v>Year 1 operating economics</x:v>
      </x:c>
      <x:c r="D21" s="8"/>
      <x:c r="E21" s="8"/>
      <x:c r="F21" s="2"/>
      <x:c r="G21" s="2"/>
      <x:c r="H21" s="47" t="str">
        <x:f>IF(13&lt;='Inputs'!$E$45,13,"")</x:f>
      </x:c>
      <x:c r="I21" s="35" t="str">
        <x:f>IF(H21="","",'Annual Projection'!N22)</x:f>
      </x:c>
      <x:c r="J21" s="35" t="str">
        <x:f>IF(H21="","",IF(H21='Inputs'!$E$45,$E$48,0))</x:f>
      </x:c>
      <x:c r="K21" s="35" t="n">
        <x:f>IF(H21="",0,SUM(I21:J21))</x:f>
        <x:v>0</x:v>
      </x:c>
      <x:c r="L21" s="47" t="str">
        <x:f>IF(H21="","",IF(K21=0,L20,SIGN(K21)))</x:f>
      </x:c>
      <x:c r="M21" s="47" t="str">
        <x:f>IF(H21="","",IF(AND(K21&lt;&gt;0,L20&lt;&gt;0,L21&lt;&gt;L20),1,0))</x:f>
      </x:c>
      <x:c r="N21" s="35" t="str">
        <x:f>IF(H21="","",MAX(0,-I21)+MAX(0,-J21))</x:f>
      </x:c>
      <x:c r="O21" s="35" t="str">
        <x:f>IF(H21="","",MAX(0,I21)+MAX(0,J21))</x:f>
      </x:c>
      <x:c r="P21" s="2"/>
    </x:row>
    <x:row r="22" ht="23" customHeight="1">
      <x:c r="C22" s="2" t="str">
        <x:v>Annual gross scheduled rent</x:v>
      </x:c>
      <x:c r="D22" s="2"/>
      <x:c r="E22" s="33" t="n">
        <x:f>'Inputs'!$E$24*12</x:f>
        <x:v>24600</x:v>
      </x:c>
      <x:c r="F22" s="2"/>
      <x:c r="G22" s="2"/>
      <x:c r="H22" s="47" t="str">
        <x:f>IF(14&lt;='Inputs'!$E$45,14,"")</x:f>
      </x:c>
      <x:c r="I22" s="35" t="str">
        <x:f>IF(H22="","",'Annual Projection'!N23)</x:f>
      </x:c>
      <x:c r="J22" s="35" t="str">
        <x:f>IF(H22="","",IF(H22='Inputs'!$E$45,$E$48,0))</x:f>
      </x:c>
      <x:c r="K22" s="35" t="n">
        <x:f>IF(H22="",0,SUM(I22:J22))</x:f>
        <x:v>0</x:v>
      </x:c>
      <x:c r="L22" s="47" t="str">
        <x:f>IF(H22="","",IF(K22=0,L21,SIGN(K22)))</x:f>
      </x:c>
      <x:c r="M22" s="47" t="str">
        <x:f>IF(H22="","",IF(AND(K22&lt;&gt;0,L21&lt;&gt;0,L22&lt;&gt;L21),1,0))</x:f>
      </x:c>
      <x:c r="N22" s="35" t="str">
        <x:f>IF(H22="","",MAX(0,-I22)+MAX(0,-J22))</x:f>
      </x:c>
      <x:c r="O22" s="35" t="str">
        <x:f>IF(H22="","",MAX(0,I22)+MAX(0,J22))</x:f>
      </x:c>
      <x:c r="P22" s="2"/>
    </x:row>
    <x:row r="23" ht="23" customHeight="1">
      <x:c r="C23" s="2" t="str">
        <x:v>Annual other scheduled income</x:v>
      </x:c>
      <x:c r="D23" s="2"/>
      <x:c r="E23" s="33" t="n">
        <x:f>'Inputs'!$E$25*12</x:f>
        <x:v>0</x:v>
      </x:c>
      <x:c r="F23" s="2"/>
      <x:c r="G23" s="2"/>
      <x:c r="H23" s="47" t="str">
        <x:f>IF(15&lt;='Inputs'!$E$45,15,"")</x:f>
      </x:c>
      <x:c r="I23" s="35" t="str">
        <x:f>IF(H23="","",'Annual Projection'!N24)</x:f>
      </x:c>
      <x:c r="J23" s="35" t="str">
        <x:f>IF(H23="","",IF(H23='Inputs'!$E$45,$E$48,0))</x:f>
      </x:c>
      <x:c r="K23" s="35" t="n">
        <x:f>IF(H23="",0,SUM(I23:J23))</x:f>
        <x:v>0</x:v>
      </x:c>
      <x:c r="L23" s="47" t="str">
        <x:f>IF(H23="","",IF(K23=0,L22,SIGN(K23)))</x:f>
      </x:c>
      <x:c r="M23" s="47" t="str">
        <x:f>IF(H23="","",IF(AND(K23&lt;&gt;0,L22&lt;&gt;0,L23&lt;&gt;L22),1,0))</x:f>
      </x:c>
      <x:c r="N23" s="35" t="str">
        <x:f>IF(H23="","",MAX(0,-I23)+MAX(0,-J23))</x:f>
      </x:c>
      <x:c r="O23" s="35" t="str">
        <x:f>IF(H23="","",MAX(0,I23)+MAX(0,J23))</x:f>
      </x:c>
      <x:c r="P23" s="2"/>
    </x:row>
    <x:row r="24" ht="23" customHeight="1">
      <x:c r="C24" s="2" t="str">
        <x:v>Vacancy / collection loss</x:v>
      </x:c>
      <x:c r="D24" s="2"/>
      <x:c r="E24" s="33" t="n">
        <x:f>SUM(E22:E23)*'Inputs'!$E$26</x:f>
        <x:v>1230</x:v>
      </x:c>
      <x:c r="F24" s="2"/>
      <x:c r="G24" s="2"/>
      <x:c r="H24" s="47" t="str">
        <x:f>IF(16&lt;='Inputs'!$E$45,16,"")</x:f>
      </x:c>
      <x:c r="I24" s="35" t="str">
        <x:f>IF(H24="","",'Annual Projection'!N25)</x:f>
      </x:c>
      <x:c r="J24" s="35" t="str">
        <x:f>IF(H24="","",IF(H24='Inputs'!$E$45,$E$48,0))</x:f>
      </x:c>
      <x:c r="K24" s="35" t="n">
        <x:f>IF(H24="",0,SUM(I24:J24))</x:f>
        <x:v>0</x:v>
      </x:c>
      <x:c r="L24" s="47" t="str">
        <x:f>IF(H24="","",IF(K24=0,L23,SIGN(K24)))</x:f>
      </x:c>
      <x:c r="M24" s="47" t="str">
        <x:f>IF(H24="","",IF(AND(K24&lt;&gt;0,L23&lt;&gt;0,L24&lt;&gt;L23),1,0))</x:f>
      </x:c>
      <x:c r="N24" s="35" t="str">
        <x:f>IF(H24="","",MAX(0,-I24)+MAX(0,-J24))</x:f>
      </x:c>
      <x:c r="O24" s="35" t="str">
        <x:f>IF(H24="","",MAX(0,I24)+MAX(0,J24))</x:f>
      </x:c>
      <x:c r="P24" s="2"/>
    </x:row>
    <x:row r="25" ht="23" customHeight="1">
      <x:c r="C25" s="52" t="str">
        <x:v>Effective gross income</x:v>
      </x:c>
      <x:c r="D25" s="52"/>
      <x:c r="E25" s="53" t="n">
        <x:f>SUM(E22:E23)-E24</x:f>
        <x:v>23370</x:v>
      </x:c>
      <x:c r="F25" s="2"/>
      <x:c r="G25" s="2"/>
      <x:c r="H25" s="47" t="str">
        <x:f>IF(17&lt;='Inputs'!$E$45,17,"")</x:f>
      </x:c>
      <x:c r="I25" s="35" t="str">
        <x:f>IF(H25="","",'Annual Projection'!N26)</x:f>
      </x:c>
      <x:c r="J25" s="35" t="str">
        <x:f>IF(H25="","",IF(H25='Inputs'!$E$45,$E$48,0))</x:f>
      </x:c>
      <x:c r="K25" s="35" t="n">
        <x:f>IF(H25="",0,SUM(I25:J25))</x:f>
        <x:v>0</x:v>
      </x:c>
      <x:c r="L25" s="47" t="str">
        <x:f>IF(H25="","",IF(K25=0,L24,SIGN(K25)))</x:f>
      </x:c>
      <x:c r="M25" s="47" t="str">
        <x:f>IF(H25="","",IF(AND(K25&lt;&gt;0,L24&lt;&gt;0,L25&lt;&gt;L24),1,0))</x:f>
      </x:c>
      <x:c r="N25" s="35" t="str">
        <x:f>IF(H25="","",MAX(0,-I25)+MAX(0,-J25))</x:f>
      </x:c>
      <x:c r="O25" s="35" t="str">
        <x:f>IF(H25="","",MAX(0,I25)+MAX(0,J25))</x:f>
      </x:c>
      <x:c r="P25" s="2"/>
    </x:row>
    <x:row r="26" ht="23" customHeight="1">
      <x:c r="C26" s="2" t="str">
        <x:v>Property-management fee</x:v>
      </x:c>
      <x:c r="D26" s="2"/>
      <x:c r="E26" s="33" t="n">
        <x:f>E25*'Inputs'!$E$27</x:f>
        <x:v>1635.9</x:v>
      </x:c>
      <x:c r="F26" s="2"/>
      <x:c r="G26" s="2"/>
      <x:c r="H26" s="47" t="str">
        <x:f>IF(18&lt;='Inputs'!$E$45,18,"")</x:f>
      </x:c>
      <x:c r="I26" s="35" t="str">
        <x:f>IF(H26="","",'Annual Projection'!N27)</x:f>
      </x:c>
      <x:c r="J26" s="35" t="str">
        <x:f>IF(H26="","",IF(H26='Inputs'!$E$45,$E$48,0))</x:f>
      </x:c>
      <x:c r="K26" s="35" t="n">
        <x:f>IF(H26="",0,SUM(I26:J26))</x:f>
        <x:v>0</x:v>
      </x:c>
      <x:c r="L26" s="47" t="str">
        <x:f>IF(H26="","",IF(K26=0,L25,SIGN(K26)))</x:f>
      </x:c>
      <x:c r="M26" s="47" t="str">
        <x:f>IF(H26="","",IF(AND(K26&lt;&gt;0,L25&lt;&gt;0,L26&lt;&gt;L25),1,0))</x:f>
      </x:c>
      <x:c r="N26" s="35" t="str">
        <x:f>IF(H26="","",MAX(0,-I26)+MAX(0,-J26))</x:f>
      </x:c>
      <x:c r="O26" s="35" t="str">
        <x:f>IF(H26="","",MAX(0,I26)+MAX(0,J26))</x:f>
      </x:c>
      <x:c r="P26" s="2"/>
    </x:row>
    <x:row r="27" ht="23" customHeight="1">
      <x:c r="C27" s="2" t="str">
        <x:v>Fixed annual operating costs</x:v>
      </x:c>
      <x:c r="D27" s="2"/>
      <x:c r="E27" s="33" t="n">
        <x:f>SUM('Inputs'!E28:E34)</x:f>
        <x:v>6484.72</x:v>
      </x:c>
      <x:c r="F27" s="2"/>
      <x:c r="G27" s="2"/>
      <x:c r="H27" s="47" t="str">
        <x:f>IF(19&lt;='Inputs'!$E$45,19,"")</x:f>
      </x:c>
      <x:c r="I27" s="35" t="str">
        <x:f>IF(H27="","",'Annual Projection'!N28)</x:f>
      </x:c>
      <x:c r="J27" s="35" t="str">
        <x:f>IF(H27="","",IF(H27='Inputs'!$E$45,$E$48,0))</x:f>
      </x:c>
      <x:c r="K27" s="35" t="n">
        <x:f>IF(H27="",0,SUM(I27:J27))</x:f>
        <x:v>0</x:v>
      </x:c>
      <x:c r="L27" s="47" t="str">
        <x:f>IF(H27="","",IF(K27=0,L26,SIGN(K27)))</x:f>
      </x:c>
      <x:c r="M27" s="47" t="str">
        <x:f>IF(H27="","",IF(AND(K27&lt;&gt;0,L26&lt;&gt;0,L27&lt;&gt;L26),1,0))</x:f>
      </x:c>
      <x:c r="N27" s="35" t="str">
        <x:f>IF(H27="","",MAX(0,-I27)+MAX(0,-J27))</x:f>
      </x:c>
      <x:c r="O27" s="35" t="str">
        <x:f>IF(H27="","",MAX(0,I27)+MAX(0,J27))</x:f>
      </x:c>
      <x:c r="P27" s="2"/>
    </x:row>
    <x:row r="28" ht="23" customHeight="1">
      <x:c r="C28" s="52" t="str">
        <x:v>Total operating expenses</x:v>
      </x:c>
      <x:c r="D28" s="52"/>
      <x:c r="E28" s="53" t="n">
        <x:f>SUM(E26:E27)</x:f>
        <x:v>8120.620000000001</x:v>
      </x:c>
      <x:c r="F28" s="2"/>
      <x:c r="G28" s="2"/>
      <x:c r="H28" s="47" t="str">
        <x:f>IF(20&lt;='Inputs'!$E$45,20,"")</x:f>
      </x:c>
      <x:c r="I28" s="35" t="str">
        <x:f>IF(H28="","",'Annual Projection'!N29)</x:f>
      </x:c>
      <x:c r="J28" s="35" t="str">
        <x:f>IF(H28="","",IF(H28='Inputs'!$E$45,$E$48,0))</x:f>
      </x:c>
      <x:c r="K28" s="35" t="n">
        <x:f>IF(H28="",0,SUM(I28:J28))</x:f>
        <x:v>0</x:v>
      </x:c>
      <x:c r="L28" s="47" t="str">
        <x:f>IF(H28="","",IF(K28=0,L27,SIGN(K28)))</x:f>
      </x:c>
      <x:c r="M28" s="47" t="str">
        <x:f>IF(H28="","",IF(AND(K28&lt;&gt;0,L27&lt;&gt;0,L28&lt;&gt;L27),1,0))</x:f>
      </x:c>
      <x:c r="N28" s="35" t="str">
        <x:f>IF(H28="","",MAX(0,-I28)+MAX(0,-J28))</x:f>
      </x:c>
      <x:c r="O28" s="35" t="str">
        <x:f>IF(H28="","",MAX(0,I28)+MAX(0,J28))</x:f>
      </x:c>
      <x:c r="P28" s="2"/>
    </x:row>
    <x:row r="29" ht="23" customHeight="1">
      <x:c r="C29" s="52" t="str">
        <x:v>Net operating income (NOI)</x:v>
      </x:c>
      <x:c r="D29" s="52"/>
      <x:c r="E29" s="53" t="n">
        <x:f>E25-E28</x:f>
        <x:v>15249.38</x:v>
      </x:c>
      <x:c r="F29" s="2"/>
      <x:c r="G29" s="2"/>
      <x:c r="H29" s="47" t="str">
        <x:f>IF(21&lt;='Inputs'!$E$45,21,"")</x:f>
      </x:c>
      <x:c r="I29" s="35" t="str">
        <x:f>IF(H29="","",'Annual Projection'!N30)</x:f>
      </x:c>
      <x:c r="J29" s="35" t="str">
        <x:f>IF(H29="","",IF(H29='Inputs'!$E$45,$E$48,0))</x:f>
      </x:c>
      <x:c r="K29" s="35" t="n">
        <x:f>IF(H29="",0,SUM(I29:J29))</x:f>
        <x:v>0</x:v>
      </x:c>
      <x:c r="L29" s="47" t="str">
        <x:f>IF(H29="","",IF(K29=0,L28,SIGN(K29)))</x:f>
      </x:c>
      <x:c r="M29" s="47" t="str">
        <x:f>IF(H29="","",IF(AND(K29&lt;&gt;0,L28&lt;&gt;0,L29&lt;&gt;L28),1,0))</x:f>
      </x:c>
      <x:c r="N29" s="35" t="str">
        <x:f>IF(H29="","",MAX(0,-I29)+MAX(0,-J29))</x:f>
      </x:c>
      <x:c r="O29" s="35" t="str">
        <x:f>IF(H29="","",MAX(0,I29)+MAX(0,J29))</x:f>
      </x:c>
      <x:c r="P29" s="2"/>
    </x:row>
    <x:row r="30" ht="23" customHeight="1">
      <x:c r="C30" s="2" t="str">
        <x:v>Annual capital-expenditure allowance</x:v>
      </x:c>
      <x:c r="D30" s="2"/>
      <x:c r="E30" s="33" t="n">
        <x:f>'Inputs'!$E$35</x:f>
        <x:v>1200</x:v>
      </x:c>
      <x:c r="F30" s="2"/>
      <x:c r="G30" s="2"/>
      <x:c r="H30" s="47" t="str">
        <x:f>IF(22&lt;='Inputs'!$E$45,22,"")</x:f>
      </x:c>
      <x:c r="I30" s="35" t="str">
        <x:f>IF(H30="","",'Annual Projection'!N31)</x:f>
      </x:c>
      <x:c r="J30" s="35" t="str">
        <x:f>IF(H30="","",IF(H30='Inputs'!$E$45,$E$48,0))</x:f>
      </x:c>
      <x:c r="K30" s="35" t="n">
        <x:f>IF(H30="",0,SUM(I30:J30))</x:f>
        <x:v>0</x:v>
      </x:c>
      <x:c r="L30" s="47" t="str">
        <x:f>IF(H30="","",IF(K30=0,L29,SIGN(K30)))</x:f>
      </x:c>
      <x:c r="M30" s="47" t="str">
        <x:f>IF(H30="","",IF(AND(K30&lt;&gt;0,L29&lt;&gt;0,L30&lt;&gt;L29),1,0))</x:f>
      </x:c>
      <x:c r="N30" s="35" t="str">
        <x:f>IF(H30="","",MAX(0,-I30)+MAX(0,-J30))</x:f>
      </x:c>
      <x:c r="O30" s="35" t="str">
        <x:f>IF(H30="","",MAX(0,I30)+MAX(0,J30))</x:f>
      </x:c>
      <x:c r="P30" s="2"/>
    </x:row>
    <x:row r="31" ht="23" customHeight="1">
      <x:c r="C31" s="2" t="str">
        <x:v>Sponsor annual fee</x:v>
      </x:c>
      <x:c r="D31" s="2"/>
      <x:c r="E31" s="33" t="n">
        <x:f>IF('Inputs'!$E$56="On",E25*'Inputs'!$E$62,0)</x:f>
        <x:v>0</x:v>
      </x:c>
      <x:c r="F31" s="2"/>
      <x:c r="G31" s="2"/>
      <x:c r="H31" s="47" t="str">
        <x:f>IF(23&lt;='Inputs'!$E$45,23,"")</x:f>
      </x:c>
      <x:c r="I31" s="35" t="str">
        <x:f>IF(H31="","",'Annual Projection'!N32)</x:f>
      </x:c>
      <x:c r="J31" s="35" t="str">
        <x:f>IF(H31="","",IF(H31='Inputs'!$E$45,$E$48,0))</x:f>
      </x:c>
      <x:c r="K31" s="35" t="n">
        <x:f>IF(H31="",0,SUM(I31:J31))</x:f>
        <x:v>0</x:v>
      </x:c>
      <x:c r="L31" s="47" t="str">
        <x:f>IF(H31="","",IF(K31=0,L30,SIGN(K31)))</x:f>
      </x:c>
      <x:c r="M31" s="47" t="str">
        <x:f>IF(H31="","",IF(AND(K31&lt;&gt;0,L30&lt;&gt;0,L31&lt;&gt;L30),1,0))</x:f>
      </x:c>
      <x:c r="N31" s="35" t="str">
        <x:f>IF(H31="","",MAX(0,-I31)+MAX(0,-J31))</x:f>
      </x:c>
      <x:c r="O31" s="35" t="str">
        <x:f>IF(H31="","",MAX(0,I31)+MAX(0,J31))</x:f>
      </x:c>
      <x:c r="P31" s="2"/>
    </x:row>
    <x:row r="32" ht="23" customHeight="1">
      <x:c r="C32" s="2" t="str">
        <x:v>Annual loan insurance / other loan cost</x:v>
      </x:c>
      <x:c r="D32" s="2"/>
      <x:c r="E32" s="33" t="n">
        <x:f>'Inputs'!$E$36</x:f>
        <x:v>0</x:v>
      </x:c>
      <x:c r="F32" s="2"/>
      <x:c r="G32" s="2"/>
      <x:c r="H32" s="47" t="str">
        <x:f>IF(24&lt;='Inputs'!$E$45,24,"")</x:f>
      </x:c>
      <x:c r="I32" s="35" t="str">
        <x:f>IF(H32="","",'Annual Projection'!N33)</x:f>
      </x:c>
      <x:c r="J32" s="35" t="str">
        <x:f>IF(H32="","",IF(H32='Inputs'!$E$45,$E$48,0))</x:f>
      </x:c>
      <x:c r="K32" s="35" t="n">
        <x:f>IF(H32="",0,SUM(I32:J32))</x:f>
        <x:v>0</x:v>
      </x:c>
      <x:c r="L32" s="47" t="str">
        <x:f>IF(H32="","",IF(K32=0,L31,SIGN(K32)))</x:f>
      </x:c>
      <x:c r="M32" s="47" t="str">
        <x:f>IF(H32="","",IF(AND(K32&lt;&gt;0,L31&lt;&gt;0,L32&lt;&gt;L31),1,0))</x:f>
      </x:c>
      <x:c r="N32" s="35" t="str">
        <x:f>IF(H32="","",MAX(0,-I32)+MAX(0,-J32))</x:f>
      </x:c>
      <x:c r="O32" s="35" t="str">
        <x:f>IF(H32="","",MAX(0,I32)+MAX(0,J32))</x:f>
      </x:c>
      <x:c r="P32" s="2"/>
    </x:row>
    <x:row r="33" ht="23" customHeight="1">
      <x:c r="C33" s="2" t="str">
        <x:v>Scheduled annual P&amp;I</x:v>
      </x:c>
      <x:c r="D33" s="2"/>
      <x:c r="E33" s="33" t="n">
        <x:f>'Annual Projection'!L10</x:f>
        <x:v>10910.01313029788</x:v>
      </x:c>
      <x:c r="F33" s="2"/>
      <x:c r="G33" s="2"/>
      <x:c r="H33" s="47" t="str">
        <x:f>IF(25&lt;='Inputs'!$E$45,25,"")</x:f>
      </x:c>
      <x:c r="I33" s="35" t="str">
        <x:f>IF(H33="","",'Annual Projection'!N34)</x:f>
      </x:c>
      <x:c r="J33" s="35" t="str">
        <x:f>IF(H33="","",IF(H33='Inputs'!$E$45,$E$48,0))</x:f>
      </x:c>
      <x:c r="K33" s="35" t="n">
        <x:f>IF(H33="",0,SUM(I33:J33))</x:f>
        <x:v>0</x:v>
      </x:c>
      <x:c r="L33" s="47" t="str">
        <x:f>IF(H33="","",IF(K33=0,L32,SIGN(K33)))</x:f>
      </x:c>
      <x:c r="M33" s="47" t="str">
        <x:f>IF(H33="","",IF(AND(K33&lt;&gt;0,L32&lt;&gt;0,L33&lt;&gt;L32),1,0))</x:f>
      </x:c>
      <x:c r="N33" s="35" t="str">
        <x:f>IF(H33="","",MAX(0,-I33)+MAX(0,-J33))</x:f>
      </x:c>
      <x:c r="O33" s="35" t="str">
        <x:f>IF(H33="","",MAX(0,I33)+MAX(0,J33))</x:f>
      </x:c>
      <x:c r="P33" s="2"/>
    </x:row>
    <x:row r="34" ht="23" customHeight="1">
      <x:c r="C34" s="52" t="str">
        <x:v>Annual cash flow before balloon</x:v>
      </x:c>
      <x:c r="D34" s="52"/>
      <x:c r="E34" s="53" t="n">
        <x:f>E29-SUM(E30:E33)</x:f>
        <x:v>3139.3668697021185</x:v>
      </x:c>
      <x:c r="F34" s="2"/>
      <x:c r="G34" s="2"/>
      <x:c r="H34" s="47" t="str">
        <x:f>IF(26&lt;='Inputs'!$E$45,26,"")</x:f>
      </x:c>
      <x:c r="I34" s="35" t="str">
        <x:f>IF(H34="","",'Annual Projection'!N35)</x:f>
      </x:c>
      <x:c r="J34" s="35" t="str">
        <x:f>IF(H34="","",IF(H34='Inputs'!$E$45,$E$48,0))</x:f>
      </x:c>
      <x:c r="K34" s="35" t="n">
        <x:f>IF(H34="",0,SUM(I34:J34))</x:f>
        <x:v>0</x:v>
      </x:c>
      <x:c r="L34" s="47" t="str">
        <x:f>IF(H34="","",IF(K34=0,L33,SIGN(K34)))</x:f>
      </x:c>
      <x:c r="M34" s="47" t="str">
        <x:f>IF(H34="","",IF(AND(K34&lt;&gt;0,L33&lt;&gt;0,L34&lt;&gt;L33),1,0))</x:f>
      </x:c>
      <x:c r="N34" s="35" t="str">
        <x:f>IF(H34="","",MAX(0,-I34)+MAX(0,-J34))</x:f>
      </x:c>
      <x:c r="O34" s="35" t="str">
        <x:f>IF(H34="","",MAX(0,I34)+MAX(0,J34))</x:f>
      </x:c>
      <x:c r="P34" s="2"/>
    </x:row>
    <x:row r="35" ht="23" customHeight="1">
      <x:c r="C35" s="2" t="str">
        <x:v>Monthly average cash flow</x:v>
      </x:c>
      <x:c r="D35" s="2"/>
      <x:c r="E35" s="35" t="n">
        <x:f>E34/12</x:f>
        <x:v>261.61390580850986</x:v>
      </x:c>
      <x:c r="F35" s="2"/>
      <x:c r="G35" s="2"/>
      <x:c r="H35" s="47" t="str">
        <x:f>IF(27&lt;='Inputs'!$E$45,27,"")</x:f>
      </x:c>
      <x:c r="I35" s="35" t="str">
        <x:f>IF(H35="","",'Annual Projection'!N36)</x:f>
      </x:c>
      <x:c r="J35" s="35" t="str">
        <x:f>IF(H35="","",IF(H35='Inputs'!$E$45,$E$48,0))</x:f>
      </x:c>
      <x:c r="K35" s="35" t="n">
        <x:f>IF(H35="",0,SUM(I35:J35))</x:f>
        <x:v>0</x:v>
      </x:c>
      <x:c r="L35" s="47" t="str">
        <x:f>IF(H35="","",IF(K35=0,L34,SIGN(K35)))</x:f>
      </x:c>
      <x:c r="M35" s="47" t="str">
        <x:f>IF(H35="","",IF(AND(K35&lt;&gt;0,L34&lt;&gt;0,L35&lt;&gt;L34),1,0))</x:f>
      </x:c>
      <x:c r="N35" s="35" t="str">
        <x:f>IF(H35="","",MAX(0,-I35)+MAX(0,-J35))</x:f>
      </x:c>
      <x:c r="O35" s="35" t="str">
        <x:f>IF(H35="","",MAX(0,I35)+MAX(0,J35))</x:f>
      </x:c>
      <x:c r="P35" s="2"/>
    </x:row>
    <x:row r="36" ht="23" customHeight="1">
      <x:c r="C36" s="38" t="str">
        <x:v>Year 1 cash-on-cash return</x:v>
      </x:c>
      <x:c r="D36" s="2"/>
      <x:c r="E36" s="39" t="n">
        <x:f>IF(E14=0,"n.a.",E34/E14)</x:f>
        <x:v>0.179576586824893</x:v>
      </x:c>
      <x:c r="F36" s="2"/>
      <x:c r="G36" s="2"/>
      <x:c r="H36" s="47" t="str">
        <x:f>IF(28&lt;='Inputs'!$E$45,28,"")</x:f>
      </x:c>
      <x:c r="I36" s="35" t="str">
        <x:f>IF(H36="","",'Annual Projection'!N37)</x:f>
      </x:c>
      <x:c r="J36" s="35" t="str">
        <x:f>IF(H36="","",IF(H36='Inputs'!$E$45,$E$48,0))</x:f>
      </x:c>
      <x:c r="K36" s="35" t="n">
        <x:f>IF(H36="",0,SUM(I36:J36))</x:f>
        <x:v>0</x:v>
      </x:c>
      <x:c r="L36" s="47" t="str">
        <x:f>IF(H36="","",IF(K36=0,L35,SIGN(K36)))</x:f>
      </x:c>
      <x:c r="M36" s="47" t="str">
        <x:f>IF(H36="","",IF(AND(K36&lt;&gt;0,L35&lt;&gt;0,L36&lt;&gt;L35),1,0))</x:f>
      </x:c>
      <x:c r="N36" s="35" t="str">
        <x:f>IF(H36="","",MAX(0,-I36)+MAX(0,-J36))</x:f>
      </x:c>
      <x:c r="O36" s="35" t="str">
        <x:f>IF(H36="","",MAX(0,I36)+MAX(0,J36))</x:f>
      </x:c>
      <x:c r="P36" s="2"/>
    </x:row>
    <x:row r="37" ht="23" customHeight="1">
      <x:c r="C37" s="38" t="str">
        <x:v>Cap rate on purchase price</x:v>
      </x:c>
      <x:c r="D37" s="2"/>
      <x:c r="E37" s="39" t="n">
        <x:f>IF(E7=0,"n.a.",E29/E7)</x:f>
        <x:v>0.0693468849477035</x:v>
      </x:c>
      <x:c r="F37" s="2"/>
      <x:c r="G37" s="2"/>
      <x:c r="H37" s="47" t="str">
        <x:f>IF(29&lt;='Inputs'!$E$45,29,"")</x:f>
      </x:c>
      <x:c r="I37" s="35" t="str">
        <x:f>IF(H37="","",'Annual Projection'!N38)</x:f>
      </x:c>
      <x:c r="J37" s="35" t="str">
        <x:f>IF(H37="","",IF(H37='Inputs'!$E$45,$E$48,0))</x:f>
      </x:c>
      <x:c r="K37" s="35" t="n">
        <x:f>IF(H37="",0,SUM(I37:J37))</x:f>
        <x:v>0</x:v>
      </x:c>
      <x:c r="L37" s="47" t="str">
        <x:f>IF(H37="","",IF(K37=0,L36,SIGN(K37)))</x:f>
      </x:c>
      <x:c r="M37" s="47" t="str">
        <x:f>IF(H37="","",IF(AND(K37&lt;&gt;0,L36&lt;&gt;0,L37&lt;&gt;L36),1,0))</x:f>
      </x:c>
      <x:c r="N37" s="35" t="str">
        <x:f>IF(H37="","",MAX(0,-I37)+MAX(0,-J37))</x:f>
      </x:c>
      <x:c r="O37" s="35" t="str">
        <x:f>IF(H37="","",MAX(0,I37)+MAX(0,J37))</x:f>
      </x:c>
      <x:c r="P37" s="2"/>
    </x:row>
    <x:row r="38" ht="23" customHeight="1">
      <x:c r="C38" s="38" t="str">
        <x:v>NOI / scheduled P&amp;I (DSCR)</x:v>
      </x:c>
      <x:c r="D38" s="2"/>
      <x:c r="E38" s="42" t="n">
        <x:f>IF(E33=0,"n.a.",E29/E33)</x:f>
        <x:v>1.3977416725238752</x:v>
      </x:c>
      <x:c r="F38" s="2"/>
      <x:c r="G38" s="2"/>
      <x:c r="H38" s="47" t="str">
        <x:f>IF(30&lt;='Inputs'!$E$45,30,"")</x:f>
      </x:c>
      <x:c r="I38" s="35" t="str">
        <x:f>IF(H38="","",'Annual Projection'!N39)</x:f>
      </x:c>
      <x:c r="J38" s="35" t="str">
        <x:f>IF(H38="","",IF(H38='Inputs'!$E$45,$E$48,0))</x:f>
      </x:c>
      <x:c r="K38" s="35" t="n">
        <x:f>IF(H38="",0,SUM(I38:J38))</x:f>
        <x:v>0</x:v>
      </x:c>
      <x:c r="L38" s="47" t="str">
        <x:f>IF(H38="","",IF(K38=0,L37,SIGN(K38)))</x:f>
      </x:c>
      <x:c r="M38" s="47" t="str">
        <x:f>IF(H38="","",IF(AND(K38&lt;&gt;0,L37&lt;&gt;0,L38&lt;&gt;L37),1,0))</x:f>
      </x:c>
      <x:c r="N38" s="35" t="str">
        <x:f>IF(H38="","",MAX(0,-I38)+MAX(0,-J38))</x:f>
      </x:c>
      <x:c r="O38" s="35" t="str">
        <x:f>IF(H38="","",MAX(0,I38)+MAX(0,J38))</x:f>
      </x:c>
      <x:c r="P38" s="2"/>
    </x:row>
    <x:row r="39" ht="23" customHeight="1">
      <x:c r="C39" s="38" t="str">
        <x:v>Cash coverage after reserves / fees</x:v>
      </x:c>
      <x:c r="D39" s="2"/>
      <x:c r="E39" s="42" t="n">
        <x:f>IF(E33=0,"n.a.",(E29-SUM(E30:E32))/E33)</x:f>
        <x:v>1.2877509708016641</x:v>
      </x:c>
      <x:c r="F39" s="2"/>
      <x:c r="G39" s="2"/>
      <x:c r="H39" s="2"/>
      <x:c r="I39" s="2"/>
      <x:c r="J39" s="2"/>
      <x:c r="K39" s="2"/>
      <x:c r="L39" s="2"/>
      <x:c r="M39" s="2"/>
      <x:c r="N39" s="2"/>
      <x:c r="O39" s="2"/>
      <x:c r="P39" s="2"/>
    </x:row>
    <x:row r="40" ht="23" customHeight="1">
      <x:c r="C40" s="38" t="str">
        <x:v>Break-even occupancy</x:v>
      </x:c>
      <x:c r="D40" s="2"/>
      <x:c r="E40" s="45" t="n">
        <x:f>IF(SUM(E22:E23)*(1-'Inputs'!$E$27-IF('Inputs'!$E$56="On",'Inputs'!$E$62,0))&lt;=0,"n.a.",(E27+E30+E32+E33)/(SUM(E22:E23)*(1-'Inputs'!$E$27-IF('Inputs'!$E$56="On",'Inputs'!$E$62,0))))</x:f>
        <x:v>0.8127779146034567</x:v>
      </x:c>
      <x:c r="F40" s="2"/>
      <x:c r="G40" s="2"/>
      <x:c r="H40" s="2"/>
      <x:c r="I40" s="2"/>
      <x:c r="J40" s="2"/>
      <x:c r="K40" s="2"/>
      <x:c r="L40" s="2"/>
      <x:c r="M40" s="2"/>
      <x:c r="N40" s="2"/>
      <x:c r="O40" s="2"/>
      <x:c r="P40" s="2"/>
    </x:row>
    <x:row r="41" ht="32" customHeight="1">
      <x:c r="C41" s="2"/>
      <x:c r="D41" s="2"/>
      <x:c r="E41" s="2"/>
      <x:c r="F41" s="2"/>
      <x:c r="G41" s="2"/>
      <x:c r="H41" s="6" t="str">
        <x:v>Capital in includes initial equity, negative operating cash flow, maturity balloons and any sale shortfall. Cash out includes positive operations and net sale proceeds. Cash flows at the same year-end are netted only for IRR.</x:v>
      </x:c>
      <x:c r="I41" s="6"/>
      <x:c r="J41" s="6"/>
      <x:c r="K41" s="6"/>
      <x:c r="L41" s="6"/>
      <x:c r="M41" s="6"/>
      <x:c r="N41" s="6"/>
      <x:c r="O41" s="6"/>
      <x:c r="P41" s="2"/>
    </x:row>
    <x:row r="42" ht="32" customHeight="1">
      <x:c r="C42" s="8" t="str">
        <x:v>Exit at the selected holding year</x:v>
      </x:c>
      <x:c r="D42" s="8"/>
      <x:c r="E42" s="8"/>
      <x:c r="F42" s="2"/>
      <x:c r="G42" s="2"/>
      <x:c r="H42" s="6"/>
      <x:c r="I42" s="6"/>
      <x:c r="J42" s="6"/>
      <x:c r="K42" s="6"/>
      <x:c r="L42" s="6"/>
      <x:c r="M42" s="6"/>
      <x:c r="N42" s="6"/>
      <x:c r="O42" s="6"/>
      <x:c r="P42" s="2"/>
    </x:row>
    <x:row r="43" ht="32" customHeight="1">
      <x:c r="C43" s="2" t="str">
        <x:v>Projected sale value</x:v>
      </x:c>
      <x:c r="D43" s="2"/>
      <x:c r="E43" s="33" t="n">
        <x:f>IF(ISBLANK('Inputs'!$E$50),E16*(1+'Inputs'!$E$42)^'Inputs'!$E$45,'Inputs'!$E$50)</x:f>
        <x:v>254924.36893857003</x:v>
      </x:c>
      <x:c r="F43" s="2"/>
      <x:c r="G43" s="2"/>
      <x:c r="H43" s="6"/>
      <x:c r="I43" s="6"/>
      <x:c r="J43" s="6"/>
      <x:c r="K43" s="6"/>
      <x:c r="L43" s="6"/>
      <x:c r="M43" s="6"/>
      <x:c r="N43" s="6"/>
      <x:c r="O43" s="6"/>
      <x:c r="P43" s="2"/>
    </x:row>
    <x:row r="44" ht="23" customHeight="1">
      <x:c r="C44" s="2" t="str">
        <x:v>Variable selling costs</x:v>
      </x:c>
      <x:c r="D44" s="2"/>
      <x:c r="E44" s="33" t="n">
        <x:f>E43*'Inputs'!$E$49</x:f>
        <x:v>15295.462136314201</x:v>
      </x:c>
      <x:c r="F44" s="2"/>
      <x:c r="G44" s="2"/>
      <x:c r="H44" s="2"/>
      <x:c r="I44" s="2"/>
      <x:c r="J44" s="2"/>
      <x:c r="K44" s="2"/>
      <x:c r="L44" s="2"/>
      <x:c r="M44" s="2"/>
      <x:c r="N44" s="2"/>
      <x:c r="O44" s="2"/>
      <x:c r="P44" s="2"/>
    </x:row>
    <x:row r="45" ht="32" customHeight="1">
      <x:c r="C45" s="2" t="str">
        <x:v>Fixed sale costs / payoff fees</x:v>
      </x:c>
      <x:c r="D45" s="2"/>
      <x:c r="E45" s="33" t="n">
        <x:f>SUM('Inputs'!$E$51,'Inputs'!$E$52)</x:f>
        <x:v>0</x:v>
      </x:c>
      <x:c r="F45" s="2"/>
      <x:c r="G45" s="2"/>
      <x:c r="H45" s="6" t="str">
        <x:v>Gross owner equity excludes selling costs. Its increase includes principal funded from repayments and balloon capital calls. Use total investment profit to assess modeled economic gain.</x:v>
      </x:c>
      <x:c r="I45" s="6"/>
      <x:c r="J45" s="6"/>
      <x:c r="K45" s="6"/>
      <x:c r="L45" s="6"/>
      <x:c r="M45" s="6"/>
      <x:c r="N45" s="6"/>
      <x:c r="O45" s="6"/>
      <x:c r="P45" s="2"/>
    </x:row>
    <x:row r="46" ht="32" customHeight="1">
      <x:c r="C46" s="2" t="str">
        <x:v>Loan balance at sale</x:v>
      </x:c>
      <x:c r="D46" s="2"/>
      <x:c r="E46" s="33" t="n">
        <x:f>INDEX('Annual Projection'!$R$10:$R$39,'Inputs'!$E$45)</x:f>
        <x:v>186566.28151952778</x:v>
      </x:c>
      <x:c r="F46" s="2"/>
      <x:c r="G46" s="2"/>
      <x:c r="H46" s="6"/>
      <x:c r="I46" s="6"/>
      <x:c r="J46" s="6"/>
      <x:c r="K46" s="6"/>
      <x:c r="L46" s="6"/>
      <x:c r="M46" s="6"/>
      <x:c r="N46" s="6"/>
      <x:c r="O46" s="6"/>
      <x:c r="P46" s="2"/>
    </x:row>
    <x:row r="47" ht="32" customHeight="1">
      <x:c r="C47" s="2" t="str">
        <x:v>Sponsor exit fee</x:v>
      </x:c>
      <x:c r="D47" s="2"/>
      <x:c r="E47" s="33" t="n">
        <x:f>IF('Inputs'!$E$56="On",E43*'Inputs'!$E$63,0)</x:f>
        <x:v>0</x:v>
      </x:c>
      <x:c r="F47" s="2"/>
      <x:c r="G47" s="2"/>
      <x:c r="H47" s="6"/>
      <x:c r="I47" s="6"/>
      <x:c r="J47" s="6"/>
      <x:c r="K47" s="6"/>
      <x:c r="L47" s="6"/>
      <x:c r="M47" s="6"/>
      <x:c r="N47" s="6"/>
      <x:c r="O47" s="6"/>
      <x:c r="P47" s="2"/>
    </x:row>
    <x:row r="48" ht="23" customHeight="1">
      <x:c r="C48" s="52" t="str">
        <x:v>Net sale proceeds</x:v>
      </x:c>
      <x:c r="D48" s="52"/>
      <x:c r="E48" s="53" t="n">
        <x:f>E43-SUM(E44:E47)</x:f>
        <x:v>53062.625282728055</x:v>
      </x:c>
      <x:c r="F48" s="2"/>
      <x:c r="G48" s="2"/>
      <x:c r="H48" s="2"/>
      <x:c r="I48" s="2"/>
      <x:c r="J48" s="2"/>
      <x:c r="K48" s="2"/>
      <x:c r="L48" s="2"/>
      <x:c r="M48" s="2"/>
      <x:c r="N48" s="2"/>
      <x:c r="O48" s="2"/>
      <x:c r="P48" s="2"/>
    </x:row>
    <x:row r="49" ht="32" customHeight="1">
      <x:c r="C49" s="2" t="str">
        <x:v>Owner equity at sale before costs</x:v>
      </x:c>
      <x:c r="D49" s="2"/>
      <x:c r="E49" s="35" t="n">
        <x:f>E43-E46</x:f>
        <x:v>68358.08741904225</x:v>
      </x:c>
      <x:c r="F49" s="2"/>
      <x:c r="G49" s="2"/>
      <x:c r="H49" s="6" t="str">
        <x:v>IRR is unavailable when cash flows have no sign reversal, more than one sign reversal, or the iterative solver cannot converge. Total profit and total return remain useful. No interim cash is assumed reinvested.</x:v>
      </x:c>
      <x:c r="I49" s="6"/>
      <x:c r="J49" s="6"/>
      <x:c r="K49" s="6"/>
      <x:c r="L49" s="6"/>
      <x:c r="M49" s="6"/>
      <x:c r="N49" s="6"/>
      <x:c r="O49" s="6"/>
      <x:c r="P49" s="2"/>
    </x:row>
    <x:row r="50" ht="32" customHeight="1">
      <x:c r="C50" s="2" t="str">
        <x:v>Cumulative principal retired</x:v>
      </x:c>
      <x:c r="D50" s="2"/>
      <x:c r="E50" s="33" t="n">
        <x:f>SUM('Annual Projection'!Q10:Q39)+SUM('Annual Projection'!M10:M39)</x:f>
        <x:v>22338.71848047222</x:v>
      </x:c>
      <x:c r="F50" s="2"/>
      <x:c r="G50" s="2"/>
      <x:c r="H50" s="6"/>
      <x:c r="I50" s="6"/>
      <x:c r="J50" s="6"/>
      <x:c r="K50" s="6"/>
      <x:c r="L50" s="6"/>
      <x:c r="M50" s="6"/>
      <x:c r="N50" s="6"/>
      <x:c r="O50" s="6"/>
      <x:c r="P50" s="2"/>
    </x:row>
    <x:row r="51" ht="32" customHeight="1">
      <x:c r="C51" s="2" t="str">
        <x:v>Change in gross owner equity</x:v>
      </x:c>
      <x:c r="D51" s="2"/>
      <x:c r="E51" s="35" t="n">
        <x:f>E49-E17</x:f>
        <x:v>57363.08741904225</x:v>
      </x:c>
      <x:c r="F51" s="2"/>
      <x:c r="G51" s="2"/>
      <x:c r="H51" s="6"/>
      <x:c r="I51" s="6"/>
      <x:c r="J51" s="6"/>
      <x:c r="K51" s="6"/>
      <x:c r="L51" s="6"/>
      <x:c r="M51" s="6"/>
      <x:c r="N51" s="6"/>
      <x:c r="O51" s="6"/>
      <x:c r="P51" s="2"/>
    </x:row>
    <x:row r="52" ht="23" customHeight="1">
      <x:c r="C52" s="2"/>
      <x:c r="D52" s="2"/>
      <x:c r="E52" s="2"/>
      <x:c r="F52" s="2"/>
      <x:c r="G52" s="2"/>
      <x:c r="H52" s="2"/>
      <x:c r="I52" s="2"/>
      <x:c r="J52" s="2"/>
      <x:c r="K52" s="2"/>
      <x:c r="L52" s="2"/>
      <x:c r="M52" s="2"/>
      <x:c r="N52" s="2"/>
      <x:c r="O52" s="2"/>
      <x:c r="P52" s="2"/>
    </x:row>
    <x:row r="53" ht="24" customHeight="1">
      <x:c r="C53" s="8" t="str">
        <x:v>Owner returns over the full holding period</x:v>
      </x:c>
      <x:c r="D53" s="8"/>
      <x:c r="E53" s="8"/>
      <x:c r="F53" s="2"/>
      <x:c r="G53" s="2"/>
      <x:c r="H53" s="2"/>
      <x:c r="I53" s="2"/>
      <x:c r="J53" s="2"/>
      <x:c r="K53" s="2"/>
      <x:c r="L53" s="2"/>
      <x:c r="M53" s="2"/>
      <x:c r="N53" s="2"/>
      <x:c r="O53" s="2"/>
      <x:c r="P53" s="2"/>
    </x:row>
    <x:row r="54" ht="24" customHeight="1">
      <x:c r="C54" s="52" t="str">
        <x:v>Total capital contributed</x:v>
      </x:c>
      <x:c r="D54" s="52"/>
      <x:c r="E54" s="53" t="n">
        <x:f>SUM(N8:N38)</x:f>
        <x:v>17482.04999999999</x:v>
      </x:c>
      <x:c r="F54" s="2"/>
      <x:c r="G54" s="2"/>
      <x:c r="H54" s="8" t="str">
        <x:v>Annual IRR convergence</x:v>
      </x:c>
      <x:c r="I54" s="8"/>
      <x:c r="J54" s="8"/>
      <x:c r="K54" s="8"/>
      <x:c r="L54" s="2"/>
      <x:c r="M54" s="2"/>
      <x:c r="N54" s="2"/>
      <x:c r="O54" s="2"/>
      <x:c r="P54" s="2"/>
    </x:row>
    <x:row r="55" ht="43" customHeight="1">
      <x:c r="C55" s="2" t="str">
        <x:v>Additional capital required</x:v>
      </x:c>
      <x:c r="D55" s="2"/>
      <x:c r="E55" s="35" t="n">
        <x:f>E54-E14</x:f>
        <x:v>0</x:v>
      </x:c>
      <x:c r="F55" s="2"/>
      <x:c r="G55" s="2"/>
      <x:c r="H55" s="15" t="str">
        <x:v>Method</x:v>
      </x:c>
      <x:c r="I55" s="16" t="str">
        <x:v>Candidate IRR</x:v>
      </x:c>
      <x:c r="J55" s="16" t="str">
        <x:v>NPV residual</x:v>
      </x:c>
      <x:c r="K55" s="17" t="str">
        <x:v>Valid root</x:v>
      </x:c>
      <x:c r="L55" s="2"/>
      <x:c r="M55" s="2"/>
      <x:c r="N55" s="2"/>
      <x:c r="O55" s="2"/>
      <x:c r="P55" s="2"/>
    </x:row>
    <x:row r="56" ht="23" customHeight="1">
      <x:c r="C56" s="52" t="str">
        <x:v>Total cash distributions</x:v>
      </x:c>
      <x:c r="D56" s="52"/>
      <x:c r="E56" s="53" t="n">
        <x:f>SUM(O8:O38)</x:f>
        <x:v>73102.62609753646</x:v>
      </x:c>
      <x:c r="F56" s="2"/>
      <x:c r="G56" s="2"/>
      <x:c r="H56" s="2" t="str">
        <x:v>IRR</x:v>
      </x:c>
      <x:c r="I56" s="36" t="n">
        <x:f>IF($E$60=1,IFERROR(IRR($K$8:$K$38),"n.a."),"n.a.")</x:f>
        <x:v>0.3993305347341053</x:v>
      </x:c>
      <x:c r="J56" s="60" t="n">
        <x:f>IF(ISNUMBER(I56),IFERROR($K$8+NPV(I56,$K$9:$K$38),"n.a."),"n.a.")</x:f>
        <x:v>0.0000019330327631905675</x:v>
      </x:c>
      <x:c r="K56" s="46" t="n">
        <x:f>IF(ISNUMBER(J56),IF(AND(I56&gt;-1,ABS(J56)&lt;0.01),1,0),0)</x:f>
        <x:v>1</x:v>
      </x:c>
      <x:c r="L56" s="2"/>
      <x:c r="M56" s="2"/>
      <x:c r="N56" s="2"/>
      <x:c r="O56" s="2"/>
      <x:c r="P56" s="2"/>
    </x:row>
    <x:row r="57" ht="23" customHeight="1">
      <x:c r="C57" s="52" t="str">
        <x:v>Total property investment profit</x:v>
      </x:c>
      <x:c r="D57" s="52"/>
      <x:c r="E57" s="53" t="n">
        <x:f>E56-E54</x:f>
        <x:v>55620.57609753647</x:v>
      </x:c>
      <x:c r="F57" s="2"/>
      <x:c r="G57" s="2"/>
      <x:c r="H57" s="2" t="str">
        <x:v>Root search</x:v>
      </x:c>
      <x:c r="I57" s="36" t="n">
        <x:f>IF(AND($E$60=1,$E$14&gt;0),K119,"n.a.")</x:f>
        <x:v>0.3993305347733608</x:v>
      </x:c>
      <x:c r="J57" s="60" t="n">
        <x:f>IF(ISNUMBER(I57),IFERROR($K$8+NPV(I57,$K$9:$K$38),"n.a."),"n.a.")</x:f>
        <x:v>1.0913936421275139e-11</x:v>
      </x:c>
      <x:c r="K57" s="46" t="n">
        <x:f>IF(ISNUMBER(J57),IF(AND(I57&gt;-1,ABS(J57)&lt;0.01),1,0),0)</x:f>
        <x:v>1</x:v>
      </x:c>
      <x:c r="L57" s="2"/>
      <x:c r="M57" s="2"/>
      <x:c r="N57" s="2"/>
      <x:c r="O57" s="2"/>
      <x:c r="P57" s="2"/>
    </x:row>
    <x:row r="58" ht="23" customHeight="1">
      <x:c r="C58" s="38" t="str">
        <x:v>Total return on contributed capital</x:v>
      </x:c>
      <x:c r="D58" s="2"/>
      <x:c r="E58" s="39" t="n">
        <x:f>IF(E54=0,"n.a.",E57/E54)</x:f>
        <x:v>3.1815820282825245</x:v>
      </x:c>
      <x:c r="F58" s="2"/>
      <x:c r="G58" s="2"/>
      <x:c r="H58" s="2"/>
      <x:c r="I58" s="2"/>
      <x:c r="J58" s="2"/>
      <x:c r="K58" s="2"/>
      <x:c r="L58" s="2"/>
      <x:c r="M58" s="2"/>
      <x:c r="N58" s="2"/>
      <x:c r="O58" s="2"/>
      <x:c r="P58" s="2"/>
    </x:row>
    <x:row r="59" ht="28" customHeight="1">
      <x:c r="C59" s="38" t="str">
        <x:v>Distribution multiple</x:v>
      </x:c>
      <x:c r="D59" s="2"/>
      <x:c r="E59" s="42" t="n">
        <x:f>IF(E54=0,"n.a.",E56/E54)</x:f>
        <x:v>4.1815820282825245</x:v>
      </x:c>
      <x:c r="F59" s="2"/>
      <x:c r="G59" s="2"/>
      <x:c r="H59" s="6" t="str">
        <x:v>A valid IRR brings the present value of the net cash-flow stream within $0.01 of zero. If Excel IRR fails this check, a bracketed root search provides the same annual rate. One-year returns use the exact cash-flow ratio.</x:v>
      </x:c>
      <x:c r="I59" s="6"/>
      <x:c r="J59" s="6"/>
      <x:c r="K59" s="6"/>
      <x:c r="L59" s="6"/>
      <x:c r="M59" s="6"/>
      <x:c r="N59" s="6"/>
      <x:c r="O59" s="6"/>
      <x:c r="P59" s="2"/>
    </x:row>
    <x:row r="60" ht="28" customHeight="1">
      <x:c r="C60" s="2" t="str">
        <x:v>Cash-flow sign changes</x:v>
      </x:c>
      <x:c r="D60" s="2"/>
      <x:c r="E60" s="47" t="n">
        <x:f>SUM(M8:M38)</x:f>
        <x:v>1</x:v>
      </x:c>
      <x:c r="F60" s="2"/>
      <x:c r="G60" s="2"/>
      <x:c r="H60" s="6"/>
      <x:c r="I60" s="6"/>
      <x:c r="J60" s="6"/>
      <x:c r="K60" s="6"/>
      <x:c r="L60" s="6"/>
      <x:c r="M60" s="6"/>
      <x:c r="N60" s="6"/>
      <x:c r="O60" s="6"/>
      <x:c r="P60" s="2"/>
    </x:row>
    <x:row r="61" ht="28" customHeight="1">
      <x:c r="C61" s="58" t="str">
        <x:v>Annualized return (annual IRR)</x:v>
      </x:c>
      <x:c r="D61" s="52"/>
      <x:c r="E61" s="59" t="n">
        <x:f>IF(AND(E60=1,MIN(K8:K38)&lt;0,MAX(K8:K38)&gt;0,K8&lt;0),IF('Inputs'!$E$45=1,K9/-K8-1,IF(K56=1,I56,IF(K57=1,I57,"n.a."))),"n.a.")</x:f>
        <x:v>0.3993305347341053</x:v>
      </x:c>
      <x:c r="F61" s="2"/>
      <x:c r="G61" s="2"/>
      <x:c r="H61" s="6"/>
      <x:c r="I61" s="6"/>
      <x:c r="J61" s="6"/>
      <x:c r="K61" s="6"/>
      <x:c r="L61" s="6"/>
      <x:c r="M61" s="6"/>
      <x:c r="N61" s="6"/>
      <x:c r="O61" s="6"/>
      <x:c r="P61" s="2"/>
    </x:row>
    <x:row r="62" ht="23" customHeight="1">
      <x:c r="C62" s="2"/>
      <x:c r="D62" s="2"/>
      <x:c r="E62" s="2"/>
      <x:c r="F62" s="2"/>
      <x:c r="G62" s="2"/>
      <x:c r="H62" s="2"/>
      <x:c r="I62" s="2"/>
      <x:c r="J62" s="2"/>
      <x:c r="K62" s="2"/>
      <x:c r="L62" s="2"/>
      <x:c r="M62" s="2"/>
      <x:c r="N62" s="2"/>
      <x:c r="O62" s="2"/>
      <x:c r="P62" s="2"/>
    </x:row>
    <x:row r="63" ht="24" customHeight="1">
      <x:c r="C63" s="2"/>
      <x:c r="D63" s="2"/>
      <x:c r="E63" s="2"/>
      <x:c r="F63" s="2"/>
      <x:c r="G63" s="2"/>
      <x:c r="H63" s="8" t="str">
        <x:v>Annual return root search</x:v>
      </x:c>
      <x:c r="I63" s="8"/>
      <x:c r="J63" s="8"/>
      <x:c r="K63" s="8"/>
      <x:c r="L63" s="8"/>
      <x:c r="M63" s="2"/>
      <x:c r="N63" s="2"/>
      <x:c r="O63" s="2"/>
      <x:c r="P63" s="2"/>
    </x:row>
    <x:row r="64" ht="43" customHeight="1">
      <x:c r="C64" s="2"/>
      <x:c r="D64" s="2"/>
      <x:c r="E64" s="2"/>
      <x:c r="F64" s="2"/>
      <x:c r="G64" s="2"/>
      <x:c r="H64" s="15" t="str">
        <x:v>Step</x:v>
      </x:c>
      <x:c r="I64" s="16" t="str">
        <x:v>Lower bound</x:v>
      </x:c>
      <x:c r="J64" s="16" t="str">
        <x:v>Upper bound</x:v>
      </x:c>
      <x:c r="K64" s="16" t="str">
        <x:v>Midpoint rate</x:v>
      </x:c>
      <x:c r="L64" s="17" t="str">
        <x:v>NPV at midpoint</x:v>
      </x:c>
      <x:c r="M64" s="2"/>
      <x:c r="N64" s="2"/>
      <x:c r="O64" s="2"/>
      <x:c r="P64" s="2"/>
    </x:row>
    <x:row r="65" ht="23" customHeight="1">
      <x:c r="C65" s="2"/>
      <x:c r="D65" s="2"/>
      <x:c r="E65" s="2"/>
      <x:c r="F65" s="2"/>
      <x:c r="G65" s="2"/>
      <x:c r="H65" s="2" t="n">
        <x:v>1</x:v>
      </x:c>
      <x:c r="I65" s="61" t="n">
        <x:f>IF(AND($E$60=1,$E$14&gt;0),-0.999999,0)</x:f>
        <x:v>-0.999999</x:v>
      </x:c>
      <x:c r="J65" s="61" t="n">
        <x:f>IF(AND($E$60=1,$E$14&gt;0),MAX(1,$E$56/$E$14),0)</x:f>
        <x:v>4.1815820282825245</x:v>
      </x:c>
      <x:c r="K65" s="61" t="n">
        <x:f>AVERAGE(I65:J65)</x:f>
        <x:v>1.5907915141412623</x:v>
      </x:c>
      <x:c r="L65" s="60" t="n">
        <x:f>IF(AND($E$60=1,$E$14&gt;0),$K$8+NPV(K65,$K$9:$K$38),0)</x:f>
        <x:v>-14914.880952897416</x:v>
      </x:c>
      <x:c r="M65" s="2"/>
      <x:c r="N65" s="2"/>
      <x:c r="O65" s="2"/>
      <x:c r="P65" s="2"/>
    </x:row>
    <x:row r="66" ht="23" customHeight="1">
      <x:c r="C66" s="2"/>
      <x:c r="D66" s="2"/>
      <x:c r="E66" s="2"/>
      <x:c r="F66" s="2"/>
      <x:c r="G66" s="2"/>
      <x:c r="H66" s="2" t="n">
        <x:v>2</x:v>
      </x:c>
      <x:c r="I66" s="61" t="n">
        <x:f>IF(AND($E$60=1,$E$14&gt;0),IF(L65&gt;0,K65,I65),0)</x:f>
        <x:v>-0.999999</x:v>
      </x:c>
      <x:c r="J66" s="61" t="n">
        <x:f>IF(AND($E$60=1,$E$14&gt;0),IF(L65&gt;0,J65,K65),0)</x:f>
        <x:v>1.5907915141412623</x:v>
      </x:c>
      <x:c r="K66" s="61" t="n">
        <x:f>AVERAGE(I66:J66)</x:f>
        <x:v>0.29539625707063116</x:v>
      </x:c>
      <x:c r="L66" s="60" t="n">
        <x:f>IF(AND($E$60=1,$E$14&gt;0),$K$8+NPV(K66,$K$9:$K$38),0)</x:f>
        <x:v>6369.953647868977</x:v>
      </x:c>
      <x:c r="M66" s="2"/>
      <x:c r="N66" s="2"/>
      <x:c r="O66" s="2"/>
      <x:c r="P66" s="2"/>
    </x:row>
    <x:row r="67" ht="23" customHeight="1">
      <x:c r="C67" s="2"/>
      <x:c r="D67" s="2"/>
      <x:c r="E67" s="2"/>
      <x:c r="F67" s="2"/>
      <x:c r="G67" s="2"/>
      <x:c r="H67" s="2" t="n">
        <x:v>3</x:v>
      </x:c>
      <x:c r="I67" s="61" t="n">
        <x:f>IF(AND($E$60=1,$E$14&gt;0),IF(L66&gt;0,K66,I66),0)</x:f>
        <x:v>0.29539625707063116</x:v>
      </x:c>
      <x:c r="J67" s="61" t="n">
        <x:f>IF(AND($E$60=1,$E$14&gt;0),IF(L66&gt;0,J66,K66),0)</x:f>
        <x:v>1.5907915141412623</x:v>
      </x:c>
      <x:c r="K67" s="61" t="n">
        <x:f>AVERAGE(I67:J67)</x:f>
        <x:v>0.9430938856059468</x:v>
      </x:c>
      <x:c r="L67" s="60" t="n">
        <x:f>IF(AND($E$60=1,$E$14&gt;0),$K$8+NPV(K67,$K$9:$K$38),0)</x:f>
        <x:v>-11974.459238689451</x:v>
      </x:c>
      <x:c r="M67" s="2"/>
      <x:c r="N67" s="2"/>
      <x:c r="O67" s="2"/>
      <x:c r="P67" s="2"/>
    </x:row>
    <x:row r="68" ht="23" customHeight="1">
      <x:c r="C68" s="2"/>
      <x:c r="D68" s="2"/>
      <x:c r="E68" s="2"/>
      <x:c r="F68" s="2"/>
      <x:c r="G68" s="2"/>
      <x:c r="H68" s="2" t="n">
        <x:v>4</x:v>
      </x:c>
      <x:c r="I68" s="61" t="n">
        <x:f>IF(AND($E$60=1,$E$14&gt;0),IF(L67&gt;0,K67,I67),0)</x:f>
        <x:v>0.29539625707063116</x:v>
      </x:c>
      <x:c r="J68" s="61" t="n">
        <x:f>IF(AND($E$60=1,$E$14&gt;0),IF(L67&gt;0,J67,K67),0)</x:f>
        <x:v>0.9430938856059468</x:v>
      </x:c>
      <x:c r="K68" s="61" t="n">
        <x:f>AVERAGE(I68:J68)</x:f>
        <x:v>0.619245071338289</x:v>
      </x:c>
      <x:c r="L68" s="60" t="n">
        <x:f>IF(AND($E$60=1,$E$14&gt;0),$K$8+NPV(K68,$K$9:$K$38),0)</x:f>
        <x:v>-7390.833103497815</x:v>
      </x:c>
      <x:c r="M68" s="2"/>
      <x:c r="N68" s="2"/>
      <x:c r="O68" s="2"/>
      <x:c r="P68" s="2"/>
    </x:row>
    <x:row r="69" ht="23" customHeight="1">
      <x:c r="C69" s="2"/>
      <x:c r="D69" s="2"/>
      <x:c r="E69" s="2"/>
      <x:c r="F69" s="2"/>
      <x:c r="G69" s="2"/>
      <x:c r="H69" s="2" t="n">
        <x:v>5</x:v>
      </x:c>
      <x:c r="I69" s="61" t="n">
        <x:f>IF(AND($E$60=1,$E$14&gt;0),IF(L68&gt;0,K68,I68),0)</x:f>
        <x:v>0.29539625707063116</x:v>
      </x:c>
      <x:c r="J69" s="61" t="n">
        <x:f>IF(AND($E$60=1,$E$14&gt;0),IF(L68&gt;0,J68,K68),0)</x:f>
        <x:v>0.619245071338289</x:v>
      </x:c>
      <x:c r="K69" s="61" t="n">
        <x:f>AVERAGE(I69:J69)</x:f>
        <x:v>0.45732066420446005</x:v>
      </x:c>
      <x:c r="L69" s="60" t="n">
        <x:f>IF(AND($E$60=1,$E$14&gt;0),$K$8+NPV(K69,$K$9:$K$38),0)</x:f>
        <x:v>-2557.1165293429567</x:v>
      </x:c>
      <x:c r="M69" s="2"/>
      <x:c r="N69" s="2"/>
      <x:c r="O69" s="2"/>
      <x:c r="P69" s="2"/>
    </x:row>
    <x:row r="70" ht="23" customHeight="1">
      <x:c r="C70" s="2"/>
      <x:c r="D70" s="2"/>
      <x:c r="E70" s="2"/>
      <x:c r="F70" s="2"/>
      <x:c r="G70" s="2"/>
      <x:c r="H70" s="2" t="n">
        <x:v>6</x:v>
      </x:c>
      <x:c r="I70" s="61" t="n">
        <x:f>IF(AND($E$60=1,$E$14&gt;0),IF(L69&gt;0,K69,I69),0)</x:f>
        <x:v>0.29539625707063116</x:v>
      </x:c>
      <x:c r="J70" s="61" t="n">
        <x:f>IF(AND($E$60=1,$E$14&gt;0),IF(L69&gt;0,J69,K69),0)</x:f>
        <x:v>0.45732066420446005</x:v>
      </x:c>
      <x:c r="K70" s="61" t="n">
        <x:f>AVERAGE(I70:J70)</x:f>
        <x:v>0.37635846063754563</x:v>
      </x:c>
      <x:c r="L70" s="60" t="n">
        <x:f>IF(AND($E$60=1,$E$14&gt;0),$K$8+NPV(K70,$K$9:$K$38),0)</x:f>
        <x:v>1184.3714700885394</x:v>
      </x:c>
      <x:c r="M70" s="2"/>
      <x:c r="N70" s="2"/>
      <x:c r="O70" s="2"/>
      <x:c r="P70" s="2"/>
    </x:row>
    <x:row r="71" ht="23" customHeight="1">
      <x:c r="C71" s="2"/>
      <x:c r="D71" s="2"/>
      <x:c r="E71" s="2"/>
      <x:c r="F71" s="2"/>
      <x:c r="G71" s="2"/>
      <x:c r="H71" s="2" t="n">
        <x:v>7</x:v>
      </x:c>
      <x:c r="I71" s="61" t="n">
        <x:f>IF(AND($E$60=1,$E$14&gt;0),IF(L70&gt;0,K70,I70),0)</x:f>
        <x:v>0.37635846063754563</x:v>
      </x:c>
      <x:c r="J71" s="61" t="n">
        <x:f>IF(AND($E$60=1,$E$14&gt;0),IF(L70&gt;0,J70,K70),0)</x:f>
        <x:v>0.45732066420446005</x:v>
      </x:c>
      <x:c r="K71" s="61" t="n">
        <x:f>AVERAGE(I71:J71)</x:f>
        <x:v>0.41683956242100284</x:v>
      </x:c>
      <x:c r="L71" s="60" t="n">
        <x:f>IF(AND($E$60=1,$E$14&gt;0),$K$8+NPV(K71,$K$9:$K$38),0)</x:f>
        <x:v>-833.2393113957296</x:v>
      </x:c>
      <x:c r="M71" s="2"/>
      <x:c r="N71" s="2"/>
      <x:c r="O71" s="2"/>
      <x:c r="P71" s="2"/>
    </x:row>
    <x:row r="72" ht="23" customHeight="1">
      <x:c r="C72" s="2"/>
      <x:c r="D72" s="2"/>
      <x:c r="E72" s="2"/>
      <x:c r="F72" s="2"/>
      <x:c r="G72" s="2"/>
      <x:c r="H72" s="2" t="n">
        <x:v>8</x:v>
      </x:c>
      <x:c r="I72" s="61" t="n">
        <x:f>IF(AND($E$60=1,$E$14&gt;0),IF(L71&gt;0,K71,I71),0)</x:f>
        <x:v>0.37635846063754563</x:v>
      </x:c>
      <x:c r="J72" s="61" t="n">
        <x:f>IF(AND($E$60=1,$E$14&gt;0),IF(L71&gt;0,J71,K71),0)</x:f>
        <x:v>0.41683956242100284</x:v>
      </x:c>
      <x:c r="K72" s="61" t="n">
        <x:f>AVERAGE(I72:J72)</x:f>
        <x:v>0.39659901152927424</x:v>
      </x:c>
      <x:c r="L72" s="60" t="n">
        <x:f>IF(AND($E$60=1,$E$14&gt;0),$K$8+NPV(K72,$K$9:$K$38),0)</x:f>
        <x:v>135.2341294874168</x:v>
      </x:c>
      <x:c r="M72" s="2"/>
      <x:c r="N72" s="2"/>
      <x:c r="O72" s="2"/>
      <x:c r="P72" s="2"/>
    </x:row>
    <x:row r="73" ht="23" customHeight="1">
      <x:c r="C73" s="2"/>
      <x:c r="D73" s="2"/>
      <x:c r="E73" s="2"/>
      <x:c r="F73" s="2"/>
      <x:c r="G73" s="2"/>
      <x:c r="H73" s="2" t="n">
        <x:v>9</x:v>
      </x:c>
      <x:c r="I73" s="61" t="n">
        <x:f>IF(AND($E$60=1,$E$14&gt;0),IF(L72&gt;0,K72,I72),0)</x:f>
        <x:v>0.39659901152927424</x:v>
      </x:c>
      <x:c r="J73" s="61" t="n">
        <x:f>IF(AND($E$60=1,$E$14&gt;0),IF(L72&gt;0,J72,K72),0)</x:f>
        <x:v>0.41683956242100284</x:v>
      </x:c>
      <x:c r="K73" s="61" t="n">
        <x:f>AVERAGE(I73:J73)</x:f>
        <x:v>0.40671928697513854</x:v>
      </x:c>
      <x:c r="L73" s="60" t="n">
        <x:f>IF(AND($E$60=1,$E$14&gt;0),$K$8+NPV(K73,$K$9:$K$38),0)</x:f>
        <x:v>-358.60189591329254</x:v>
      </x:c>
      <x:c r="M73" s="2"/>
      <x:c r="N73" s="2"/>
      <x:c r="O73" s="2"/>
      <x:c r="P73" s="2"/>
    </x:row>
    <x:row r="74" ht="23" customHeight="1">
      <x:c r="C74" s="2"/>
      <x:c r="D74" s="2"/>
      <x:c r="E74" s="2"/>
      <x:c r="F74" s="2"/>
      <x:c r="G74" s="2"/>
      <x:c r="H74" s="2" t="n">
        <x:v>10</x:v>
      </x:c>
      <x:c r="I74" s="61" t="n">
        <x:f>IF(AND($E$60=1,$E$14&gt;0),IF(L73&gt;0,K73,I73),0)</x:f>
        <x:v>0.39659901152927424</x:v>
      </x:c>
      <x:c r="J74" s="61" t="n">
        <x:f>IF(AND($E$60=1,$E$14&gt;0),IF(L73&gt;0,J73,K73),0)</x:f>
        <x:v>0.40671928697513854</x:v>
      </x:c>
      <x:c r="K74" s="61" t="n">
        <x:f>AVERAGE(I74:J74)</x:f>
        <x:v>0.40165914925220636</x:v>
      </x:c>
      <x:c r="L74" s="60" t="n">
        <x:f>IF(AND($E$60=1,$E$14&gt;0),$K$8+NPV(K74,$K$9:$K$38),0)</x:f>
        <x:v>-114.14204360779695</x:v>
      </x:c>
      <x:c r="M74" s="2"/>
      <x:c r="N74" s="2"/>
      <x:c r="O74" s="2"/>
      <x:c r="P74" s="2"/>
    </x:row>
    <x:row r="75" ht="23" customHeight="1">
      <x:c r="C75" s="2"/>
      <x:c r="D75" s="2"/>
      <x:c r="E75" s="2"/>
      <x:c r="F75" s="2"/>
      <x:c r="G75" s="2"/>
      <x:c r="H75" s="2" t="n">
        <x:v>11</x:v>
      </x:c>
      <x:c r="I75" s="61" t="n">
        <x:f>IF(AND($E$60=1,$E$14&gt;0),IF(L74&gt;0,K74,I74),0)</x:f>
        <x:v>0.39659901152927424</x:v>
      </x:c>
      <x:c r="J75" s="61" t="n">
        <x:f>IF(AND($E$60=1,$E$14&gt;0),IF(L74&gt;0,J74,K74),0)</x:f>
        <x:v>0.40165914925220636</x:v>
      </x:c>
      <x:c r="K75" s="61" t="n">
        <x:f>AVERAGE(I75:J75)</x:f>
        <x:v>0.3991290803907403</x:v>
      </x:c>
      <x:c r="L75" s="60" t="n">
        <x:f>IF(AND($E$60=1,$E$14&gt;0),$K$8+NPV(K75,$K$9:$K$38),0)</x:f>
        <x:v>9.924030395668524</x:v>
      </x:c>
      <x:c r="M75" s="2"/>
      <x:c r="N75" s="2"/>
      <x:c r="O75" s="2"/>
      <x:c r="P75" s="2"/>
    </x:row>
    <x:row r="76" ht="23" customHeight="1">
      <x:c r="C76" s="2"/>
      <x:c r="D76" s="2"/>
      <x:c r="E76" s="2"/>
      <x:c r="F76" s="2"/>
      <x:c r="G76" s="2"/>
      <x:c r="H76" s="2" t="n">
        <x:v>12</x:v>
      </x:c>
      <x:c r="I76" s="61" t="n">
        <x:f>IF(AND($E$60=1,$E$14&gt;0),IF(L75&gt;0,K75,I75),0)</x:f>
        <x:v>0.3991290803907403</x:v>
      </x:c>
      <x:c r="J76" s="61" t="n">
        <x:f>IF(AND($E$60=1,$E$14&gt;0),IF(L75&gt;0,J75,K75),0)</x:f>
        <x:v>0.40165914925220636</x:v>
      </x:c>
      <x:c r="K76" s="61" t="n">
        <x:f>AVERAGE(I76:J76)</x:f>
        <x:v>0.40039411482147336</x:v>
      </x:c>
      <x:c r="L76" s="60" t="n">
        <x:f>IF(AND($E$60=1,$E$14&gt;0),$K$8+NPV(K76,$K$9:$K$38),0)</x:f>
        <x:v>-52.2635674525045</x:v>
      </x:c>
      <x:c r="M76" s="2"/>
      <x:c r="N76" s="2"/>
      <x:c r="O76" s="2"/>
      <x:c r="P76" s="2"/>
    </x:row>
    <x:row r="77" ht="23" customHeight="1">
      <x:c r="C77" s="2"/>
      <x:c r="D77" s="2"/>
      <x:c r="E77" s="2"/>
      <x:c r="F77" s="2"/>
      <x:c r="G77" s="2"/>
      <x:c r="H77" s="2" t="n">
        <x:v>13</x:v>
      </x:c>
      <x:c r="I77" s="61" t="n">
        <x:f>IF(AND($E$60=1,$E$14&gt;0),IF(L76&gt;0,K76,I76),0)</x:f>
        <x:v>0.3991290803907403</x:v>
      </x:c>
      <x:c r="J77" s="61" t="n">
        <x:f>IF(AND($E$60=1,$E$14&gt;0),IF(L76&gt;0,J76,K76),0)</x:f>
        <x:v>0.40039411482147336</x:v>
      </x:c>
      <x:c r="K77" s="61" t="n">
        <x:f>AVERAGE(I77:J77)</x:f>
        <x:v>0.39976159760610686</x:v>
      </x:c>
      <x:c r="L77" s="60" t="n">
        <x:f>IF(AND($E$60=1,$E$14&gt;0),$K$8+NPV(K77,$K$9:$K$38),0)</x:f>
        <x:v>-21.208526007074397</x:v>
      </x:c>
      <x:c r="M77" s="2"/>
      <x:c r="N77" s="2"/>
      <x:c r="O77" s="2"/>
      <x:c r="P77" s="2"/>
    </x:row>
    <x:row r="78" ht="23" customHeight="1">
      <x:c r="C78" s="2"/>
      <x:c r="D78" s="2"/>
      <x:c r="E78" s="2"/>
      <x:c r="F78" s="2"/>
      <x:c r="G78" s="2"/>
      <x:c r="H78" s="2" t="n">
        <x:v>14</x:v>
      </x:c>
      <x:c r="I78" s="61" t="n">
        <x:f>IF(AND($E$60=1,$E$14&gt;0),IF(L77&gt;0,K77,I77),0)</x:f>
        <x:v>0.3991290803907403</x:v>
      </x:c>
      <x:c r="J78" s="61" t="n">
        <x:f>IF(AND($E$60=1,$E$14&gt;0),IF(L77&gt;0,J77,K77),0)</x:f>
        <x:v>0.39976159760610686</x:v>
      </x:c>
      <x:c r="K78" s="61" t="n">
        <x:f>AVERAGE(I78:J78)</x:f>
        <x:v>0.3994453389984236</x:v>
      </x:c>
      <x:c r="L78" s="60" t="n">
        <x:f>IF(AND($E$60=1,$E$14&gt;0),$K$8+NPV(K78,$K$9:$K$38),0)</x:f>
        <x:v>-5.651951879008266</x:v>
      </x:c>
      <x:c r="M78" s="2"/>
      <x:c r="N78" s="2"/>
      <x:c r="O78" s="2"/>
      <x:c r="P78" s="2"/>
    </x:row>
    <x:row r="79" ht="23" customHeight="1">
      <x:c r="C79" s="2"/>
      <x:c r="D79" s="2"/>
      <x:c r="E79" s="2"/>
      <x:c r="F79" s="2"/>
      <x:c r="G79" s="2"/>
      <x:c r="H79" s="2" t="n">
        <x:v>15</x:v>
      </x:c>
      <x:c r="I79" s="61" t="n">
        <x:f>IF(AND($E$60=1,$E$14&gt;0),IF(L78&gt;0,K78,I78),0)</x:f>
        <x:v>0.3991290803907403</x:v>
      </x:c>
      <x:c r="J79" s="61" t="n">
        <x:f>IF(AND($E$60=1,$E$14&gt;0),IF(L78&gt;0,J78,K78),0)</x:f>
        <x:v>0.3994453389984236</x:v>
      </x:c>
      <x:c r="K79" s="61" t="n">
        <x:f>AVERAGE(I79:J79)</x:f>
        <x:v>0.399287209694582</x:v>
      </x:c>
      <x:c r="L79" s="60" t="n">
        <x:f>IF(AND($E$60=1,$E$14&gt;0),$K$8+NPV(K79,$K$9:$K$38),0)</x:f>
        <x:v>2.1336113992147148</x:v>
      </x:c>
      <x:c r="M79" s="2"/>
      <x:c r="N79" s="2"/>
      <x:c r="O79" s="2"/>
      <x:c r="P79" s="2"/>
    </x:row>
    <x:row r="80" ht="23" customHeight="1">
      <x:c r="C80" s="2"/>
      <x:c r="D80" s="2"/>
      <x:c r="E80" s="2"/>
      <x:c r="F80" s="2"/>
      <x:c r="G80" s="2"/>
      <x:c r="H80" s="2" t="n">
        <x:v>16</x:v>
      </x:c>
      <x:c r="I80" s="61" t="n">
        <x:f>IF(AND($E$60=1,$E$14&gt;0),IF(L79&gt;0,K79,I79),0)</x:f>
        <x:v>0.399287209694582</x:v>
      </x:c>
      <x:c r="J80" s="61" t="n">
        <x:f>IF(AND($E$60=1,$E$14&gt;0),IF(L79&gt;0,J79,K79),0)</x:f>
        <x:v>0.3994453389984236</x:v>
      </x:c>
      <x:c r="K80" s="61" t="n">
        <x:f>AVERAGE(I80:J80)</x:f>
        <x:v>0.3993662743465028</x:v>
      </x:c>
      <x:c r="L80" s="60" t="n">
        <x:f>IF(AND($E$60=1,$E$14&gt;0),$K$8+NPV(K80,$K$9:$K$38),0)</x:f>
        <x:v>-1.7597769744534162</x:v>
      </x:c>
      <x:c r="M80" s="2"/>
      <x:c r="N80" s="2"/>
      <x:c r="O80" s="2"/>
      <x:c r="P80" s="2"/>
    </x:row>
    <x:row r="81" ht="23" customHeight="1">
      <x:c r="C81" s="2"/>
      <x:c r="D81" s="2"/>
      <x:c r="E81" s="2"/>
      <x:c r="F81" s="2"/>
      <x:c r="G81" s="2"/>
      <x:c r="H81" s="2" t="n">
        <x:v>17</x:v>
      </x:c>
      <x:c r="I81" s="61" t="n">
        <x:f>IF(AND($E$60=1,$E$14&gt;0),IF(L80&gt;0,K80,I80),0)</x:f>
        <x:v>0.399287209694582</x:v>
      </x:c>
      <x:c r="J81" s="61" t="n">
        <x:f>IF(AND($E$60=1,$E$14&gt;0),IF(L80&gt;0,J80,K80),0)</x:f>
        <x:v>0.3993662743465028</x:v>
      </x:c>
      <x:c r="K81" s="61" t="n">
        <x:f>AVERAGE(I81:J81)</x:f>
        <x:v>0.3993267420205424</x:v>
      </x:c>
      <x:c r="L81" s="60" t="n">
        <x:f>IF(AND($E$60=1,$E$14&gt;0),$K$8+NPV(K81,$K$9:$K$38),0)</x:f>
        <x:v>0.18676549996598624</x:v>
      </x:c>
      <x:c r="M81" s="2"/>
      <x:c r="N81" s="2"/>
      <x:c r="O81" s="2"/>
      <x:c r="P81" s="2"/>
    </x:row>
    <x:row r="82" ht="23" customHeight="1">
      <x:c r="C82" s="2"/>
      <x:c r="D82" s="2"/>
      <x:c r="E82" s="2"/>
      <x:c r="F82" s="2"/>
      <x:c r="G82" s="2"/>
      <x:c r="H82" s="2" t="n">
        <x:v>18</x:v>
      </x:c>
      <x:c r="I82" s="61" t="n">
        <x:f>IF(AND($E$60=1,$E$14&gt;0),IF(L81&gt;0,K81,I81),0)</x:f>
        <x:v>0.3993267420205424</x:v>
      </x:c>
      <x:c r="J82" s="61" t="n">
        <x:f>IF(AND($E$60=1,$E$14&gt;0),IF(L81&gt;0,J81,K81),0)</x:f>
        <x:v>0.3993662743465028</x:v>
      </x:c>
      <x:c r="K82" s="61" t="n">
        <x:f>AVERAGE(I82:J82)</x:f>
        <x:v>0.3993465081835226</x:v>
      </x:c>
      <x:c r="L82" s="60" t="n">
        <x:f>IF(AND($E$60=1,$E$14&gt;0),$K$8+NPV(K82,$K$9:$K$38),0)</x:f>
        <x:v>-0.7865436617503292</x:v>
      </x:c>
      <x:c r="M82" s="2"/>
      <x:c r="N82" s="2"/>
      <x:c r="O82" s="2"/>
      <x:c r="P82" s="2"/>
    </x:row>
    <x:row r="83" ht="23" customHeight="1">
      <x:c r="C83" s="2"/>
      <x:c r="D83" s="2"/>
      <x:c r="E83" s="2"/>
      <x:c r="F83" s="2"/>
      <x:c r="G83" s="2"/>
      <x:c r="H83" s="2" t="n">
        <x:v>19</x:v>
      </x:c>
      <x:c r="I83" s="61" t="n">
        <x:f>IF(AND($E$60=1,$E$14&gt;0),IF(L82&gt;0,K82,I82),0)</x:f>
        <x:v>0.3993267420205424</x:v>
      </x:c>
      <x:c r="J83" s="61" t="n">
        <x:f>IF(AND($E$60=1,$E$14&gt;0),IF(L82&gt;0,J82,K82),0)</x:f>
        <x:v>0.3993465081835226</x:v>
      </x:c>
      <x:c r="K83" s="61" t="n">
        <x:f>AVERAGE(I83:J83)</x:f>
        <x:v>0.3993366251020325</x:v>
      </x:c>
      <x:c r="L83" s="60" t="n">
        <x:f>IF(AND($E$60=1,$E$14&gt;0),$K$8+NPV(K83,$K$9:$K$38),0)</x:f>
        <x:v>-0.29989856246538693</x:v>
      </x:c>
      <x:c r="M83" s="2"/>
      <x:c r="N83" s="2"/>
      <x:c r="O83" s="2"/>
      <x:c r="P83" s="2"/>
    </x:row>
    <x:row r="84" ht="23" customHeight="1">
      <x:c r="C84" s="2"/>
      <x:c r="D84" s="2"/>
      <x:c r="E84" s="2"/>
      <x:c r="F84" s="2"/>
      <x:c r="G84" s="2"/>
      <x:c r="H84" s="2" t="n">
        <x:v>20</x:v>
      </x:c>
      <x:c r="I84" s="61" t="n">
        <x:f>IF(AND($E$60=1,$E$14&gt;0),IF(L83&gt;0,K83,I83),0)</x:f>
        <x:v>0.3993267420205424</x:v>
      </x:c>
      <x:c r="J84" s="61" t="n">
        <x:f>IF(AND($E$60=1,$E$14&gt;0),IF(L83&gt;0,J83,K83),0)</x:f>
        <x:v>0.3993366251020325</x:v>
      </x:c>
      <x:c r="K84" s="61" t="n">
        <x:f>AVERAGE(I84:J84)</x:f>
        <x:v>0.39933168356128745</x:v>
      </x:c>
      <x:c r="L84" s="60" t="n">
        <x:f>IF(AND($E$60=1,$E$14&gt;0),$K$8+NPV(K84,$K$9:$K$38),0)</x:f>
        <x:v>-0.05656890169848339</x:v>
      </x:c>
      <x:c r="M84" s="2"/>
      <x:c r="N84" s="2"/>
      <x:c r="O84" s="2"/>
      <x:c r="P84" s="2"/>
    </x:row>
    <x:row r="85" ht="23" customHeight="1">
      <x:c r="C85" s="2"/>
      <x:c r="D85" s="2"/>
      <x:c r="E85" s="2"/>
      <x:c r="F85" s="2"/>
      <x:c r="G85" s="2"/>
      <x:c r="H85" s="2" t="n">
        <x:v>21</x:v>
      </x:c>
      <x:c r="I85" s="61" t="n">
        <x:f>IF(AND($E$60=1,$E$14&gt;0),IF(L84&gt;0,K84,I84),0)</x:f>
        <x:v>0.3993267420205424</x:v>
      </x:c>
      <x:c r="J85" s="61" t="n">
        <x:f>IF(AND($E$60=1,$E$14&gt;0),IF(L84&gt;0,J84,K84),0)</x:f>
        <x:v>0.39933168356128745</x:v>
      </x:c>
      <x:c r="K85" s="61" t="n">
        <x:f>AVERAGE(I85:J85)</x:f>
        <x:v>0.39932921279091493</x:v>
      </x:c>
      <x:c r="L85" s="60" t="n">
        <x:f>IF(AND($E$60=1,$E$14&gt;0),$K$8+NPV(K85,$K$9:$K$38),0)</x:f>
        <x:v>0.06509770651246072</x:v>
      </x:c>
      <x:c r="M85" s="2"/>
      <x:c r="N85" s="2"/>
      <x:c r="O85" s="2"/>
      <x:c r="P85" s="2"/>
    </x:row>
    <x:row r="86" ht="23" customHeight="1">
      <x:c r="C86" s="2"/>
      <x:c r="D86" s="2"/>
      <x:c r="E86" s="2"/>
      <x:c r="F86" s="2"/>
      <x:c r="G86" s="2"/>
      <x:c r="H86" s="2" t="n">
        <x:v>22</x:v>
      </x:c>
      <x:c r="I86" s="61" t="n">
        <x:f>IF(AND($E$60=1,$E$14&gt;0),IF(L85&gt;0,K85,I85),0)</x:f>
        <x:v>0.39932921279091493</x:v>
      </x:c>
      <x:c r="J86" s="61" t="n">
        <x:f>IF(AND($E$60=1,$E$14&gt;0),IF(L85&gt;0,J85,K85),0)</x:f>
        <x:v>0.39933168356128745</x:v>
      </x:c>
      <x:c r="K86" s="61" t="n">
        <x:f>AVERAGE(I86:J86)</x:f>
        <x:v>0.3993304481761012</x:v>
      </x:c>
      <x:c r="L86" s="60" t="n">
        <x:f>IF(AND($E$60=1,$E$14&gt;0),$K$8+NPV(K86,$K$9:$K$38),0)</x:f>
        <x:v>0.004264254257577704</x:v>
      </x:c>
      <x:c r="M86" s="2"/>
      <x:c r="N86" s="2"/>
      <x:c r="O86" s="2"/>
      <x:c r="P86" s="2"/>
    </x:row>
    <x:row r="87" ht="23" customHeight="1">
      <x:c r="C87" s="2"/>
      <x:c r="D87" s="2"/>
      <x:c r="E87" s="2"/>
      <x:c r="F87" s="2"/>
      <x:c r="G87" s="2"/>
      <x:c r="H87" s="2" t="n">
        <x:v>23</x:v>
      </x:c>
      <x:c r="I87" s="61" t="n">
        <x:f>IF(AND($E$60=1,$E$14&gt;0),IF(L86&gt;0,K86,I86),0)</x:f>
        <x:v>0.3993304481761012</x:v>
      </x:c>
      <x:c r="J87" s="61" t="n">
        <x:f>IF(AND($E$60=1,$E$14&gt;0),IF(L86&gt;0,J86,K86),0)</x:f>
        <x:v>0.39933168356128745</x:v>
      </x:c>
      <x:c r="K87" s="61" t="n">
        <x:f>AVERAGE(I87:J87)</x:f>
        <x:v>0.3993310658686943</x:v>
      </x:c>
      <x:c r="L87" s="60" t="n">
        <x:f>IF(AND($E$60=1,$E$14&gt;0),$K$8+NPV(K87,$K$9:$K$38),0)</x:f>
        <x:v>-0.026152360762353055</x:v>
      </x:c>
      <x:c r="M87" s="2"/>
      <x:c r="N87" s="2"/>
      <x:c r="O87" s="2"/>
      <x:c r="P87" s="2"/>
    </x:row>
    <x:row r="88" ht="23" customHeight="1">
      <x:c r="C88" s="2"/>
      <x:c r="D88" s="2"/>
      <x:c r="E88" s="2"/>
      <x:c r="F88" s="2"/>
      <x:c r="G88" s="2"/>
      <x:c r="H88" s="2" t="n">
        <x:v>24</x:v>
      </x:c>
      <x:c r="I88" s="61" t="n">
        <x:f>IF(AND($E$60=1,$E$14&gt;0),IF(L87&gt;0,K87,I87),0)</x:f>
        <x:v>0.3993304481761012</x:v>
      </x:c>
      <x:c r="J88" s="61" t="n">
        <x:f>IF(AND($E$60=1,$E$14&gt;0),IF(L87&gt;0,J87,K87),0)</x:f>
        <x:v>0.3993310658686943</x:v>
      </x:c>
      <x:c r="K88" s="61" t="n">
        <x:f>AVERAGE(I88:J88)</x:f>
        <x:v>0.39933075702239773</x:v>
      </x:c>
      <x:c r="L88" s="60" t="n">
        <x:f>IF(AND($E$60=1,$E$14&gt;0),$K$8+NPV(K88,$K$9:$K$38),0)</x:f>
        <x:v>-0.01094406250922475</x:v>
      </x:c>
      <x:c r="M88" s="2"/>
      <x:c r="N88" s="2"/>
      <x:c r="O88" s="2"/>
      <x:c r="P88" s="2"/>
    </x:row>
    <x:row r="89" ht="23" customHeight="1">
      <x:c r="C89" s="2"/>
      <x:c r="D89" s="2"/>
      <x:c r="E89" s="2"/>
      <x:c r="F89" s="2"/>
      <x:c r="G89" s="2"/>
      <x:c r="H89" s="2" t="n">
        <x:v>25</x:v>
      </x:c>
      <x:c r="I89" s="61" t="n">
        <x:f>IF(AND($E$60=1,$E$14&gt;0),IF(L88&gt;0,K88,I88),0)</x:f>
        <x:v>0.3993304481761012</x:v>
      </x:c>
      <x:c r="J89" s="61" t="n">
        <x:f>IF(AND($E$60=1,$E$14&gt;0),IF(L88&gt;0,J88,K88),0)</x:f>
        <x:v>0.39933075702239773</x:v>
      </x:c>
      <x:c r="K89" s="61" t="n">
        <x:f>AVERAGE(I89:J89)</x:f>
        <x:v>0.39933060259924946</x:v>
      </x:c>
      <x:c r="L89" s="60" t="n">
        <x:f>IF(AND($E$60=1,$E$14&gt;0),$K$8+NPV(K89,$K$9:$K$38),0)</x:f>
        <x:v>-0.0033399064486729912</x:v>
      </x:c>
      <x:c r="M89" s="2"/>
      <x:c r="N89" s="2"/>
      <x:c r="O89" s="2"/>
      <x:c r="P89" s="2"/>
    </x:row>
    <x:row r="90" ht="23" customHeight="1">
      <x:c r="C90" s="2"/>
      <x:c r="D90" s="2"/>
      <x:c r="E90" s="2"/>
      <x:c r="F90" s="2"/>
      <x:c r="G90" s="2"/>
      <x:c r="H90" s="2" t="n">
        <x:v>26</x:v>
      </x:c>
      <x:c r="I90" s="61" t="n">
        <x:f>IF(AND($E$60=1,$E$14&gt;0),IF(L89&gt;0,K89,I89),0)</x:f>
        <x:v>0.3993304481761012</x:v>
      </x:c>
      <x:c r="J90" s="61" t="n">
        <x:f>IF(AND($E$60=1,$E$14&gt;0),IF(L89&gt;0,J89,K89),0)</x:f>
        <x:v>0.39933060259924946</x:v>
      </x:c>
      <x:c r="K90" s="61" t="n">
        <x:f>AVERAGE(I90:J90)</x:f>
        <x:v>0.39933052538767533</x:v>
      </x:c>
      <x:c r="L90" s="60" t="n">
        <x:f>IF(AND($E$60=1,$E$14&gt;0),$K$8+NPV(K90,$K$9:$K$38),0)</x:f>
        <x:v>0.0004621733241947368</x:v>
      </x:c>
      <x:c r="M90" s="2"/>
      <x:c r="N90" s="2"/>
      <x:c r="O90" s="2"/>
      <x:c r="P90" s="2"/>
    </x:row>
    <x:row r="91" ht="23" customHeight="1">
      <x:c r="C91" s="2"/>
      <x:c r="D91" s="2"/>
      <x:c r="E91" s="2"/>
      <x:c r="F91" s="2"/>
      <x:c r="G91" s="2"/>
      <x:c r="H91" s="2" t="n">
        <x:v>27</x:v>
      </x:c>
      <x:c r="I91" s="61" t="n">
        <x:f>IF(AND($E$60=1,$E$14&gt;0),IF(L90&gt;0,K90,I90),0)</x:f>
        <x:v>0.39933052538767533</x:v>
      </x:c>
      <x:c r="J91" s="61" t="n">
        <x:f>IF(AND($E$60=1,$E$14&gt;0),IF(L90&gt;0,J90,K90),0)</x:f>
        <x:v>0.39933060259924946</x:v>
      </x:c>
      <x:c r="K91" s="61" t="n">
        <x:f>AVERAGE(I91:J91)</x:f>
        <x:v>0.3993305639934624</x:v>
      </x:c>
      <x:c r="L91" s="60" t="n">
        <x:f>IF(AND($E$60=1,$E$14&gt;0),$K$8+NPV(K91,$K$9:$K$38),0)</x:f>
        <x:v>-0.0014388667041203007</x:v>
      </x:c>
      <x:c r="M91" s="2"/>
      <x:c r="N91" s="2"/>
      <x:c r="O91" s="2"/>
      <x:c r="P91" s="2"/>
    </x:row>
    <x:row r="92" ht="23" customHeight="1">
      <x:c r="C92" s="2"/>
      <x:c r="D92" s="2"/>
      <x:c r="E92" s="2"/>
      <x:c r="F92" s="2"/>
      <x:c r="G92" s="2"/>
      <x:c r="H92" s="2" t="n">
        <x:v>28</x:v>
      </x:c>
      <x:c r="I92" s="61" t="n">
        <x:f>IF(AND($E$60=1,$E$14&gt;0),IF(L91&gt;0,K91,I91),0)</x:f>
        <x:v>0.39933052538767533</x:v>
      </x:c>
      <x:c r="J92" s="61" t="n">
        <x:f>IF(AND($E$60=1,$E$14&gt;0),IF(L91&gt;0,J91,K91),0)</x:f>
        <x:v>0.3993305639934624</x:v>
      </x:c>
      <x:c r="K92" s="61" t="n">
        <x:f>AVERAGE(I92:J92)</x:f>
        <x:v>0.39933054469056883</x:v>
      </x:c>
      <x:c r="L92" s="60" t="n">
        <x:f>IF(AND($E$60=1,$E$14&gt;0),$K$8+NPV(K92,$K$9:$K$38),0)</x:f>
        <x:v>-0.0004883467227045912</x:v>
      </x:c>
      <x:c r="M92" s="2"/>
      <x:c r="N92" s="2"/>
      <x:c r="O92" s="2"/>
      <x:c r="P92" s="2"/>
    </x:row>
    <x:row r="93" ht="23" customHeight="1">
      <x:c r="C93" s="2"/>
      <x:c r="D93" s="2"/>
      <x:c r="E93" s="2"/>
      <x:c r="F93" s="2"/>
      <x:c r="G93" s="2"/>
      <x:c r="H93" s="2" t="n">
        <x:v>29</x:v>
      </x:c>
      <x:c r="I93" s="61" t="n">
        <x:f>IF(AND($E$60=1,$E$14&gt;0),IF(L92&gt;0,K92,I92),0)</x:f>
        <x:v>0.39933052538767533</x:v>
      </x:c>
      <x:c r="J93" s="61" t="n">
        <x:f>IF(AND($E$60=1,$E$14&gt;0),IF(L92&gt;0,J92,K92),0)</x:f>
        <x:v>0.39933054469056883</x:v>
      </x:c>
      <x:c r="K93" s="61" t="n">
        <x:f>AVERAGE(I93:J93)</x:f>
        <x:v>0.3993305350391221</x:v>
      </x:c>
      <x:c r="L93" s="60" t="n">
        <x:f>IF(AND($E$60=1,$E$14&gt;0),$K$8+NPV(K93,$K$9:$K$38),0)</x:f>
        <x:v>-0.000013086708349874243</x:v>
      </x:c>
      <x:c r="M93" s="2"/>
      <x:c r="N93" s="2"/>
      <x:c r="O93" s="2"/>
      <x:c r="P93" s="2"/>
    </x:row>
    <x:row r="94" ht="23" customHeight="1">
      <x:c r="C94" s="2"/>
      <x:c r="D94" s="2"/>
      <x:c r="E94" s="2"/>
      <x:c r="F94" s="2"/>
      <x:c r="G94" s="2"/>
      <x:c r="H94" s="2" t="n">
        <x:v>30</x:v>
      </x:c>
      <x:c r="I94" s="61" t="n">
        <x:f>IF(AND($E$60=1,$E$14&gt;0),IF(L93&gt;0,K93,I93),0)</x:f>
        <x:v>0.39933052538767533</x:v>
      </x:c>
      <x:c r="J94" s="61" t="n">
        <x:f>IF(AND($E$60=1,$E$14&gt;0),IF(L93&gt;0,J93,K93),0)</x:f>
        <x:v>0.3993305350391221</x:v>
      </x:c>
      <x:c r="K94" s="61" t="n">
        <x:f>AVERAGE(I94:J94)</x:f>
        <x:v>0.3993305302133987</x:v>
      </x:c>
      <x:c r="L94" s="60" t="n">
        <x:f>IF(AND($E$60=1,$E$14&gt;0),$K$8+NPV(K94,$K$9:$K$38),0)</x:f>
        <x:v>0.00022454330610344186</x:v>
      </x:c>
      <x:c r="M94" s="2"/>
      <x:c r="N94" s="2"/>
      <x:c r="O94" s="2"/>
      <x:c r="P94" s="2"/>
    </x:row>
    <x:row r="95" ht="23" customHeight="1">
      <x:c r="C95" s="2"/>
      <x:c r="D95" s="2"/>
      <x:c r="E95" s="2"/>
      <x:c r="F95" s="2"/>
      <x:c r="G95" s="2"/>
      <x:c r="H95" s="2" t="n">
        <x:v>31</x:v>
      </x:c>
      <x:c r="I95" s="61" t="n">
        <x:f>IF(AND($E$60=1,$E$14&gt;0),IF(L94&gt;0,K94,I94),0)</x:f>
        <x:v>0.3993305302133987</x:v>
      </x:c>
      <x:c r="J95" s="61" t="n">
        <x:f>IF(AND($E$60=1,$E$14&gt;0),IF(L94&gt;0,J94,K94),0)</x:f>
        <x:v>0.3993305350391221</x:v>
      </x:c>
      <x:c r="K95" s="61" t="n">
        <x:f>AVERAGE(I95:J95)</x:f>
        <x:v>0.3993305326262604</x:v>
      </x:c>
      <x:c r="L95" s="60" t="n">
        <x:f>IF(AND($E$60=1,$E$14&gt;0),$K$8+NPV(K95,$K$9:$K$38),0)</x:f>
        <x:v>0.00010572830069577321</x:v>
      </x:c>
      <x:c r="M95" s="2"/>
      <x:c r="N95" s="2"/>
      <x:c r="O95" s="2"/>
      <x:c r="P95" s="2"/>
    </x:row>
    <x:row r="96" ht="23" customHeight="1">
      <x:c r="C96" s="2"/>
      <x:c r="D96" s="2"/>
      <x:c r="E96" s="2"/>
      <x:c r="F96" s="2"/>
      <x:c r="G96" s="2"/>
      <x:c r="H96" s="2" t="n">
        <x:v>32</x:v>
      </x:c>
      <x:c r="I96" s="61" t="n">
        <x:f>IF(AND($E$60=1,$E$14&gt;0),IF(L95&gt;0,K95,I95),0)</x:f>
        <x:v>0.3993305326262604</x:v>
      </x:c>
      <x:c r="J96" s="61" t="n">
        <x:f>IF(AND($E$60=1,$E$14&gt;0),IF(L95&gt;0,J95,K95),0)</x:f>
        <x:v>0.3993305350391221</x:v>
      </x:c>
      <x:c r="K96" s="61" t="n">
        <x:f>AVERAGE(I96:J96)</x:f>
        <x:v>0.39933053383269124</x:v>
      </x:c>
      <x:c r="L96" s="60" t="n">
        <x:f>IF(AND($E$60=1,$E$14&gt;0),$K$8+NPV(K96,$K$9:$K$38),0)</x:f>
        <x:v>0.000046320790715981275</x:v>
      </x:c>
      <x:c r="M96" s="2"/>
      <x:c r="N96" s="2"/>
      <x:c r="O96" s="2"/>
      <x:c r="P96" s="2"/>
    </x:row>
    <x:row r="97" ht="23" customHeight="1">
      <x:c r="C97" s="2"/>
      <x:c r="D97" s="2"/>
      <x:c r="E97" s="2"/>
      <x:c r="F97" s="2"/>
      <x:c r="G97" s="2"/>
      <x:c r="H97" s="2" t="n">
        <x:v>33</x:v>
      </x:c>
      <x:c r="I97" s="61" t="n">
        <x:f>IF(AND($E$60=1,$E$14&gt;0),IF(L96&gt;0,K96,I96),0)</x:f>
        <x:v>0.39933053383269124</x:v>
      </x:c>
      <x:c r="J97" s="61" t="n">
        <x:f>IF(AND($E$60=1,$E$14&gt;0),IF(L96&gt;0,J96,K96),0)</x:f>
        <x:v>0.3993305350391221</x:v>
      </x:c>
      <x:c r="K97" s="61" t="n">
        <x:f>AVERAGE(I97:J97)</x:f>
        <x:v>0.39933053443590666</x:v>
      </x:c>
      <x:c r="L97" s="60" t="n">
        <x:f>IF(AND($E$60=1,$E$14&gt;0),$K$8+NPV(K97,$K$9:$K$38),0)</x:f>
        <x:v>0.000016617046640021726</x:v>
      </x:c>
      <x:c r="M97" s="2"/>
      <x:c r="N97" s="2"/>
      <x:c r="O97" s="2"/>
      <x:c r="P97" s="2"/>
    </x:row>
    <x:row r="98" ht="23" customHeight="1">
      <x:c r="C98" s="2"/>
      <x:c r="D98" s="2"/>
      <x:c r="E98" s="2"/>
      <x:c r="F98" s="2"/>
      <x:c r="G98" s="2"/>
      <x:c r="H98" s="2" t="n">
        <x:v>34</x:v>
      </x:c>
      <x:c r="I98" s="61" t="n">
        <x:f>IF(AND($E$60=1,$E$14&gt;0),IF(L97&gt;0,K97,I97),0)</x:f>
        <x:v>0.39933053443590666</x:v>
      </x:c>
      <x:c r="J98" s="61" t="n">
        <x:f>IF(AND($E$60=1,$E$14&gt;0),IF(L97&gt;0,J97,K97),0)</x:f>
        <x:v>0.3993305350391221</x:v>
      </x:c>
      <x:c r="K98" s="61" t="n">
        <x:f>AVERAGE(I98:J98)</x:f>
        <x:v>0.39933053473751434</x:v>
      </x:c>
      <x:c r="L98" s="60" t="n">
        <x:f>IF(AND($E$60=1,$E$14&gt;0),$K$8+NPV(K98,$K$9:$K$38),0)</x:f>
        <x:v>0.0000017651727830525488</x:v>
      </x:c>
      <x:c r="M98" s="2"/>
      <x:c r="N98" s="2"/>
      <x:c r="O98" s="2"/>
      <x:c r="P98" s="2"/>
    </x:row>
    <x:row r="99" ht="23" customHeight="1">
      <x:c r="C99" s="2"/>
      <x:c r="D99" s="2"/>
      <x:c r="E99" s="2"/>
      <x:c r="F99" s="2"/>
      <x:c r="G99" s="2"/>
      <x:c r="H99" s="2" t="n">
        <x:v>35</x:v>
      </x:c>
      <x:c r="I99" s="61" t="n">
        <x:f>IF(AND($E$60=1,$E$14&gt;0),IF(L98&gt;0,K98,I98),0)</x:f>
        <x:v>0.39933053473751434</x:v>
      </x:c>
      <x:c r="J99" s="61" t="n">
        <x:f>IF(AND($E$60=1,$E$14&gt;0),IF(L98&gt;0,J98,K98),0)</x:f>
        <x:v>0.3993305350391221</x:v>
      </x:c>
      <x:c r="K99" s="61" t="n">
        <x:f>AVERAGE(I99:J99)</x:f>
        <x:v>0.3993305348883182</x:v>
      </x:c>
      <x:c r="L99" s="60" t="n">
        <x:f>IF(AND($E$60=1,$E$14&gt;0),$K$8+NPV(K99,$K$9:$K$38),0)</x:f>
        <x:v>-0.000005660771421389654</x:v>
      </x:c>
      <x:c r="M99" s="2"/>
      <x:c r="N99" s="2"/>
      <x:c r="O99" s="2"/>
      <x:c r="P99" s="2"/>
    </x:row>
    <x:row r="100" ht="23" customHeight="1">
      <x:c r="C100" s="2"/>
      <x:c r="D100" s="2"/>
      <x:c r="E100" s="2"/>
      <x:c r="F100" s="2"/>
      <x:c r="G100" s="2"/>
      <x:c r="H100" s="2" t="n">
        <x:v>36</x:v>
      </x:c>
      <x:c r="I100" s="61" t="n">
        <x:f>IF(AND($E$60=1,$E$14&gt;0),IF(L99&gt;0,K99,I99),0)</x:f>
        <x:v>0.39933053473751434</x:v>
      </x:c>
      <x:c r="J100" s="61" t="n">
        <x:f>IF(AND($E$60=1,$E$14&gt;0),IF(L99&gt;0,J99,K99),0)</x:f>
        <x:v>0.3993305348883182</x:v>
      </x:c>
      <x:c r="K100" s="61" t="n">
        <x:f>AVERAGE(I100:J100)</x:f>
        <x:v>0.39933053481291625</x:v>
      </x:c>
      <x:c r="L100" s="60" t="n">
        <x:f>IF(AND($E$60=1,$E$14&gt;0),$K$8+NPV(K100,$K$9:$K$38),0)</x:f>
        <x:v>-0.0000019477956811897457</x:v>
      </x:c>
      <x:c r="M100" s="2"/>
      <x:c r="N100" s="2"/>
      <x:c r="O100" s="2"/>
      <x:c r="P100" s="2"/>
    </x:row>
    <x:row r="101" ht="23" customHeight="1">
      <x:c r="C101" s="2"/>
      <x:c r="D101" s="2"/>
      <x:c r="E101" s="2"/>
      <x:c r="F101" s="2"/>
      <x:c r="G101" s="2"/>
      <x:c r="H101" s="2" t="n">
        <x:v>37</x:v>
      </x:c>
      <x:c r="I101" s="61" t="n">
        <x:f>IF(AND($E$60=1,$E$14&gt;0),IF(L100&gt;0,K100,I100),0)</x:f>
        <x:v>0.39933053473751434</x:v>
      </x:c>
      <x:c r="J101" s="61" t="n">
        <x:f>IF(AND($E$60=1,$E$14&gt;0),IF(L100&gt;0,J100,K100),0)</x:f>
        <x:v>0.39933053481291625</x:v>
      </x:c>
      <x:c r="K101" s="61" t="n">
        <x:f>AVERAGE(I101:J101)</x:f>
        <x:v>0.3993305347752153</x:v>
      </x:c>
      <x:c r="L101" s="60" t="n">
        <x:f>IF(AND($E$60=1,$E$14&gt;0),$K$8+NPV(K101,$K$9:$K$38),0)</x:f>
        <x:v>-9.13096300791949e-8</x:v>
      </x:c>
      <x:c r="M101" s="2"/>
      <x:c r="N101" s="2"/>
      <x:c r="O101" s="2"/>
      <x:c r="P101" s="2"/>
    </x:row>
    <x:row r="102" ht="23" customHeight="1">
      <x:c r="C102" s="2"/>
      <x:c r="D102" s="2"/>
      <x:c r="E102" s="2"/>
      <x:c r="F102" s="2"/>
      <x:c r="G102" s="2"/>
      <x:c r="H102" s="2" t="n">
        <x:v>38</x:v>
      </x:c>
      <x:c r="I102" s="61" t="n">
        <x:f>IF(AND($E$60=1,$E$14&gt;0),IF(L101&gt;0,K101,I101),0)</x:f>
        <x:v>0.39933053473751434</x:v>
      </x:c>
      <x:c r="J102" s="61" t="n">
        <x:f>IF(AND($E$60=1,$E$14&gt;0),IF(L101&gt;0,J101,K101),0)</x:f>
        <x:v>0.3993305347752153</x:v>
      </x:c>
      <x:c r="K102" s="61" t="n">
        <x:f>AVERAGE(I102:J102)</x:f>
        <x:v>0.3993305347563648</x:v>
      </x:c>
      <x:c r="L102" s="60" t="n">
        <x:f>IF(AND($E$60=1,$E$14&gt;0),$K$8+NPV(K102,$K$9:$K$38),0)</x:f>
        <x:v>8.369206625502557e-7</x:v>
      </x:c>
      <x:c r="M102" s="2"/>
      <x:c r="N102" s="2"/>
      <x:c r="O102" s="2"/>
      <x:c r="P102" s="2"/>
    </x:row>
    <x:row r="103" ht="23" customHeight="1">
      <x:c r="C103" s="2"/>
      <x:c r="D103" s="2"/>
      <x:c r="E103" s="2"/>
      <x:c r="F103" s="2"/>
      <x:c r="G103" s="2"/>
      <x:c r="H103" s="2" t="n">
        <x:v>39</x:v>
      </x:c>
      <x:c r="I103" s="61" t="n">
        <x:f>IF(AND($E$60=1,$E$14&gt;0),IF(L102&gt;0,K102,I102),0)</x:f>
        <x:v>0.3993305347563648</x:v>
      </x:c>
      <x:c r="J103" s="61" t="n">
        <x:f>IF(AND($E$60=1,$E$14&gt;0),IF(L102&gt;0,J102,K102),0)</x:f>
        <x:v>0.3993305347752153</x:v>
      </x:c>
      <x:c r="K103" s="61" t="n">
        <x:f>AVERAGE(I103:J103)</x:f>
        <x:v>0.39933053476579006</x:v>
      </x:c>
      <x:c r="L103" s="60" t="n">
        <x:f>IF(AND($E$60=1,$E$14&gt;0),$K$8+NPV(K103,$K$9:$K$38),0)</x:f>
        <x:v>3.728055162355304e-7</x:v>
      </x:c>
      <x:c r="M103" s="2"/>
      <x:c r="N103" s="2"/>
      <x:c r="O103" s="2"/>
      <x:c r="P103" s="2"/>
    </x:row>
    <x:row r="104" ht="23" customHeight="1">
      <x:c r="C104" s="2"/>
      <x:c r="D104" s="2"/>
      <x:c r="E104" s="2"/>
      <x:c r="F104" s="2"/>
      <x:c r="G104" s="2"/>
      <x:c r="H104" s="2" t="n">
        <x:v>40</x:v>
      </x:c>
      <x:c r="I104" s="61" t="n">
        <x:f>IF(AND($E$60=1,$E$14&gt;0),IF(L103&gt;0,K103,I103),0)</x:f>
        <x:v>0.39933053476579006</x:v>
      </x:c>
      <x:c r="J104" s="61" t="n">
        <x:f>IF(AND($E$60=1,$E$14&gt;0),IF(L103&gt;0,J103,K103),0)</x:f>
        <x:v>0.3993305347752153</x:v>
      </x:c>
      <x:c r="K104" s="61" t="n">
        <x:f>AVERAGE(I104:J104)</x:f>
        <x:v>0.3993305347705027</x:v>
      </x:c>
      <x:c r="L104" s="60" t="n">
        <x:f>IF(AND($E$60=1,$E$14&gt;0),$K$8+NPV(K104,$K$9:$K$38),0)</x:f>
        <x:v>1.407424861099571e-7</x:v>
      </x:c>
      <x:c r="M104" s="2"/>
      <x:c r="N104" s="2"/>
      <x:c r="O104" s="2"/>
      <x:c r="P104" s="2"/>
    </x:row>
    <x:row r="105" ht="23" customHeight="1">
      <x:c r="C105" s="2"/>
      <x:c r="D105" s="2"/>
      <x:c r="E105" s="2"/>
      <x:c r="F105" s="2"/>
      <x:c r="G105" s="2"/>
      <x:c r="H105" s="2" t="n">
        <x:v>41</x:v>
      </x:c>
      <x:c r="I105" s="61" t="n">
        <x:f>IF(AND($E$60=1,$E$14&gt;0),IF(L104&gt;0,K104,I104),0)</x:f>
        <x:v>0.3993305347705027</x:v>
      </x:c>
      <x:c r="J105" s="61" t="n">
        <x:f>IF(AND($E$60=1,$E$14&gt;0),IF(L104&gt;0,J104,K104),0)</x:f>
        <x:v>0.3993305347752153</x:v>
      </x:c>
      <x:c r="K105" s="61" t="n">
        <x:f>AVERAGE(I105:J105)</x:f>
        <x:v>0.39933053477285896</x:v>
      </x:c>
      <x:c r="L105" s="60" t="n">
        <x:f>IF(AND($E$60=1,$E$14&gt;0),$K$8+NPV(K105,$K$9:$K$38),0)</x:f>
        <x:v>2.472370397299528e-8</x:v>
      </x:c>
      <x:c r="M105" s="2"/>
      <x:c r="N105" s="2"/>
      <x:c r="O105" s="2"/>
      <x:c r="P105" s="2"/>
    </x:row>
    <x:row r="106" ht="23" customHeight="1">
      <x:c r="C106" s="2"/>
      <x:c r="D106" s="2"/>
      <x:c r="E106" s="2"/>
      <x:c r="F106" s="2"/>
      <x:c r="G106" s="2"/>
      <x:c r="H106" s="2" t="n">
        <x:v>42</x:v>
      </x:c>
      <x:c r="I106" s="61" t="n">
        <x:f>IF(AND($E$60=1,$E$14&gt;0),IF(L105&gt;0,K105,I105),0)</x:f>
        <x:v>0.39933053477285896</x:v>
      </x:c>
      <x:c r="J106" s="61" t="n">
        <x:f>IF(AND($E$60=1,$E$14&gt;0),IF(L105&gt;0,J105,K105),0)</x:f>
        <x:v>0.3993305347752153</x:v>
      </x:c>
      <x:c r="K106" s="61" t="n">
        <x:f>AVERAGE(I106:J106)</x:f>
        <x:v>0.3993305347740371</x:v>
      </x:c>
      <x:c r="L106" s="60" t="n">
        <x:f>IF(AND($E$60=1,$E$14&gt;0),$K$8+NPV(K106,$K$9:$K$38),0)</x:f>
        <x:v>-3.329478204250336e-8</x:v>
      </x:c>
      <x:c r="M106" s="2"/>
      <x:c r="N106" s="2"/>
      <x:c r="O106" s="2"/>
      <x:c r="P106" s="2"/>
    </x:row>
    <x:row r="107" ht="23" customHeight="1">
      <x:c r="C107" s="2"/>
      <x:c r="D107" s="2"/>
      <x:c r="E107" s="2"/>
      <x:c r="F107" s="2"/>
      <x:c r="G107" s="2"/>
      <x:c r="H107" s="2" t="n">
        <x:v>43</x:v>
      </x:c>
      <x:c r="I107" s="61" t="n">
        <x:f>IF(AND($E$60=1,$E$14&gt;0),IF(L106&gt;0,K106,I106),0)</x:f>
        <x:v>0.39933053477285896</x:v>
      </x:c>
      <x:c r="J107" s="61" t="n">
        <x:f>IF(AND($E$60=1,$E$14&gt;0),IF(L106&gt;0,J106,K106),0)</x:f>
        <x:v>0.3993305347740371</x:v>
      </x:c>
      <x:c r="K107" s="61" t="n">
        <x:f>AVERAGE(I107:J107)</x:f>
        <x:v>0.39933053477344804</x:v>
      </x:c>
      <x:c r="L107" s="60" t="n">
        <x:f>IF(AND($E$60=1,$E$14&gt;0),$K$8+NPV(K107,$K$9:$K$38),0)</x:f>
        <x:v>-4.296452971175313e-9</x:v>
      </x:c>
      <x:c r="M107" s="2"/>
      <x:c r="N107" s="2"/>
      <x:c r="O107" s="2"/>
      <x:c r="P107" s="2"/>
    </x:row>
    <x:row r="108" ht="23" customHeight="1">
      <x:c r="C108" s="2"/>
      <x:c r="D108" s="2"/>
      <x:c r="E108" s="2"/>
      <x:c r="F108" s="2"/>
      <x:c r="G108" s="2"/>
      <x:c r="H108" s="2" t="n">
        <x:v>44</x:v>
      </x:c>
      <x:c r="I108" s="61" t="n">
        <x:f>IF(AND($E$60=1,$E$14&gt;0),IF(L107&gt;0,K107,I107),0)</x:f>
        <x:v>0.39933053477285896</x:v>
      </x:c>
      <x:c r="J108" s="61" t="n">
        <x:f>IF(AND($E$60=1,$E$14&gt;0),IF(L107&gt;0,J107,K107),0)</x:f>
        <x:v>0.39933053477344804</x:v>
      </x:c>
      <x:c r="K108" s="61" t="n">
        <x:f>AVERAGE(I108:J108)</x:f>
        <x:v>0.3993305347731535</x:v>
      </x:c>
      <x:c r="L108" s="60" t="n">
        <x:f>IF(AND($E$60=1,$E$14&gt;0),$K$8+NPV(K108,$K$9:$K$38),0)</x:f>
        <x:v>1.0211806511506438e-8</x:v>
      </x:c>
      <x:c r="M108" s="2"/>
      <x:c r="N108" s="2"/>
      <x:c r="O108" s="2"/>
      <x:c r="P108" s="2"/>
    </x:row>
    <x:row r="109" ht="23" customHeight="1">
      <x:c r="C109" s="2"/>
      <x:c r="D109" s="2"/>
      <x:c r="E109" s="2"/>
      <x:c r="F109" s="2"/>
      <x:c r="G109" s="2"/>
      <x:c r="H109" s="2" t="n">
        <x:v>45</x:v>
      </x:c>
      <x:c r="I109" s="61" t="n">
        <x:f>IF(AND($E$60=1,$E$14&gt;0),IF(L108&gt;0,K108,I108),0)</x:f>
        <x:v>0.3993305347731535</x:v>
      </x:c>
      <x:c r="J109" s="61" t="n">
        <x:f>IF(AND($E$60=1,$E$14&gt;0),IF(L108&gt;0,J108,K108),0)</x:f>
        <x:v>0.39933053477344804</x:v>
      </x:c>
      <x:c r="K109" s="61" t="n">
        <x:f>AVERAGE(I109:J109)</x:f>
        <x:v>0.39933053477330077</x:v>
      </x:c>
      <x:c r="L109" s="60" t="n">
        <x:f>IF(AND($E$60=1,$E$14&gt;0),$K$8+NPV(K109,$K$9:$K$38),0)</x:f>
        <x:v>2.9613147489726543e-9</x:v>
      </x:c>
      <x:c r="M109" s="2"/>
      <x:c r="N109" s="2"/>
      <x:c r="O109" s="2"/>
      <x:c r="P109" s="2"/>
    </x:row>
    <x:row r="110" ht="23" customHeight="1">
      <x:c r="C110" s="2"/>
      <x:c r="D110" s="2"/>
      <x:c r="E110" s="2"/>
      <x:c r="F110" s="2"/>
      <x:c r="G110" s="2"/>
      <x:c r="H110" s="2" t="n">
        <x:v>46</x:v>
      </x:c>
      <x:c r="I110" s="61" t="n">
        <x:f>IF(AND($E$60=1,$E$14&gt;0),IF(L109&gt;0,K109,I109),0)</x:f>
        <x:v>0.39933053477330077</x:v>
      </x:c>
      <x:c r="J110" s="61" t="n">
        <x:f>IF(AND($E$60=1,$E$14&gt;0),IF(L109&gt;0,J109,K109),0)</x:f>
        <x:v>0.39933053477344804</x:v>
      </x:c>
      <x:c r="K110" s="61" t="n">
        <x:f>AVERAGE(I110:J110)</x:f>
        <x:v>0.39933053477337443</x:v>
      </x:c>
      <x:c r="L110" s="60" t="n">
        <x:f>IF(AND($E$60=1,$E$14&gt;0),$K$8+NPV(K110,$K$9:$K$38),0)</x:f>
        <x:v>-6.657501216977835e-10</x:v>
      </x:c>
      <x:c r="M110" s="2"/>
      <x:c r="N110" s="2"/>
      <x:c r="O110" s="2"/>
      <x:c r="P110" s="2"/>
    </x:row>
    <x:row r="111" ht="23" customHeight="1">
      <x:c r="C111" s="2"/>
      <x:c r="D111" s="2"/>
      <x:c r="E111" s="2"/>
      <x:c r="F111" s="2"/>
      <x:c r="G111" s="2"/>
      <x:c r="H111" s="2" t="n">
        <x:v>47</x:v>
      </x:c>
      <x:c r="I111" s="61" t="n">
        <x:f>IF(AND($E$60=1,$E$14&gt;0),IF(L110&gt;0,K110,I110),0)</x:f>
        <x:v>0.39933053477330077</x:v>
      </x:c>
      <x:c r="J111" s="61" t="n">
        <x:f>IF(AND($E$60=1,$E$14&gt;0),IF(L110&gt;0,J110,K110),0)</x:f>
        <x:v>0.39933053477337443</x:v>
      </x:c>
      <x:c r="K111" s="61" t="n">
        <x:f>AVERAGE(I111:J111)</x:f>
        <x:v>0.3993305347733376</x:v>
      </x:c>
      <x:c r="L111" s="60" t="n">
        <x:f>IF(AND($E$60=1,$E$14&gt;0),$K$8+NPV(K111,$K$9:$K$38),0)</x:f>
        <x:v>1.1496013030409813e-9</x:v>
      </x:c>
      <x:c r="M111" s="2"/>
      <x:c r="N111" s="2"/>
      <x:c r="O111" s="2"/>
      <x:c r="P111" s="2"/>
    </x:row>
    <x:row r="112" ht="23" customHeight="1">
      <x:c r="C112" s="2"/>
      <x:c r="D112" s="2"/>
      <x:c r="E112" s="2"/>
      <x:c r="F112" s="2"/>
      <x:c r="G112" s="2"/>
      <x:c r="H112" s="2" t="n">
        <x:v>48</x:v>
      </x:c>
      <x:c r="I112" s="61" t="n">
        <x:f>IF(AND($E$60=1,$E$14&gt;0),IF(L111&gt;0,K111,I111),0)</x:f>
        <x:v>0.3993305347733376</x:v>
      </x:c>
      <x:c r="J112" s="61" t="n">
        <x:f>IF(AND($E$60=1,$E$14&gt;0),IF(L111&gt;0,J111,K111),0)</x:f>
        <x:v>0.39933053477337443</x:v>
      </x:c>
      <x:c r="K112" s="61" t="n">
        <x:f>AVERAGE(I112:J112)</x:f>
        <x:v>0.399330534773356</x:v>
      </x:c>
      <x:c r="L112" s="60" t="n">
        <x:f>IF(AND($E$60=1,$E$14&gt;0),$K$8+NPV(K112,$K$9:$K$38),0)</x:f>
        <x:v>2.4010660126805305e-10</x:v>
      </x:c>
      <x:c r="M112" s="2"/>
      <x:c r="N112" s="2"/>
      <x:c r="O112" s="2"/>
      <x:c r="P112" s="2"/>
    </x:row>
    <x:row r="113" ht="23" customHeight="1">
      <x:c r="C113" s="2"/>
      <x:c r="D113" s="2"/>
      <x:c r="E113" s="2"/>
      <x:c r="F113" s="2"/>
      <x:c r="G113" s="2"/>
      <x:c r="H113" s="2" t="n">
        <x:v>49</x:v>
      </x:c>
      <x:c r="I113" s="61" t="n">
        <x:f>IF(AND($E$60=1,$E$14&gt;0),IF(L112&gt;0,K112,I112),0)</x:f>
        <x:v>0.399330534773356</x:v>
      </x:c>
      <x:c r="J113" s="61" t="n">
        <x:f>IF(AND($E$60=1,$E$14&gt;0),IF(L112&gt;0,J112,K112),0)</x:f>
        <x:v>0.39933053477337443</x:v>
      </x:c>
      <x:c r="K113" s="61" t="n">
        <x:f>AVERAGE(I113:J113)</x:f>
        <x:v>0.3993305347733652</x:v>
      </x:c>
      <x:c r="L113" s="60" t="n">
        <x:f>IF(AND($E$60=1,$E$14&gt;0),$K$8+NPV(K113,$K$9:$K$38),0)</x:f>
        <x:v>-2.0736479200422764e-10</x:v>
      </x:c>
      <x:c r="M113" s="2"/>
      <x:c r="N113" s="2"/>
      <x:c r="O113" s="2"/>
      <x:c r="P113" s="2"/>
    </x:row>
    <x:row r="114" ht="23" customHeight="1">
      <x:c r="C114" s="2"/>
      <x:c r="D114" s="2"/>
      <x:c r="E114" s="2"/>
      <x:c r="F114" s="2"/>
      <x:c r="G114" s="2"/>
      <x:c r="H114" s="2" t="n">
        <x:v>50</x:v>
      </x:c>
      <x:c r="I114" s="61" t="n">
        <x:f>IF(AND($E$60=1,$E$14&gt;0),IF(L113&gt;0,K113,I113),0)</x:f>
        <x:v>0.399330534773356</x:v>
      </x:c>
      <x:c r="J114" s="61" t="n">
        <x:f>IF(AND($E$60=1,$E$14&gt;0),IF(L113&gt;0,J113,K113),0)</x:f>
        <x:v>0.3993305347733652</x:v>
      </x:c>
      <x:c r="K114" s="61" t="n">
        <x:f>AVERAGE(I114:J114)</x:f>
        <x:v>0.3993305347733606</x:v>
      </x:c>
      <x:c r="L114" s="60" t="n">
        <x:f>IF(AND($E$60=1,$E$14&gt;0),$K$8+NPV(K114,$K$9:$K$38),0)</x:f>
        <x:v>1.0913936421275139e-11</x:v>
      </x:c>
      <x:c r="M114" s="2"/>
      <x:c r="N114" s="2"/>
      <x:c r="O114" s="2"/>
      <x:c r="P114" s="2"/>
    </x:row>
    <x:row r="115" ht="23" customHeight="1">
      <x:c r="C115" s="2"/>
      <x:c r="D115" s="2"/>
      <x:c r="E115" s="2"/>
      <x:c r="F115" s="2"/>
      <x:c r="G115" s="2"/>
      <x:c r="H115" s="2" t="n">
        <x:v>51</x:v>
      </x:c>
      <x:c r="I115" s="61" t="n">
        <x:f>IF(AND($E$60=1,$E$14&gt;0),IF(L114&gt;0,K114,I114),0)</x:f>
        <x:v>0.3993305347733606</x:v>
      </x:c>
      <x:c r="J115" s="61" t="n">
        <x:f>IF(AND($E$60=1,$E$14&gt;0),IF(L114&gt;0,J114,K114),0)</x:f>
        <x:v>0.3993305347733652</x:v>
      </x:c>
      <x:c r="K115" s="61" t="n">
        <x:f>AVERAGE(I115:J115)</x:f>
        <x:v>0.3993305347733629</x:v>
      </x:c>
      <x:c r="L115" s="60" t="n">
        <x:f>IF(AND($E$60=1,$E$14&gt;0),$K$8+NPV(K115,$K$9:$K$38),0)</x:f>
        <x:v>-9.822542779147625e-11</x:v>
      </x:c>
      <x:c r="M115" s="2"/>
      <x:c r="N115" s="2"/>
      <x:c r="O115" s="2"/>
      <x:c r="P115" s="2"/>
    </x:row>
    <x:row r="116" ht="23" customHeight="1">
      <x:c r="C116" s="2"/>
      <x:c r="D116" s="2"/>
      <x:c r="E116" s="2"/>
      <x:c r="F116" s="2"/>
      <x:c r="G116" s="2"/>
      <x:c r="H116" s="2" t="n">
        <x:v>52</x:v>
      </x:c>
      <x:c r="I116" s="61" t="n">
        <x:f>IF(AND($E$60=1,$E$14&gt;0),IF(L115&gt;0,K115,I115),0)</x:f>
        <x:v>0.3993305347733606</x:v>
      </x:c>
      <x:c r="J116" s="61" t="n">
        <x:f>IF(AND($E$60=1,$E$14&gt;0),IF(L115&gt;0,J115,K115),0)</x:f>
        <x:v>0.3993305347733629</x:v>
      </x:c>
      <x:c r="K116" s="61" t="n">
        <x:f>AVERAGE(I116:J116)</x:f>
        <x:v>0.3993305347733618</x:v>
      </x:c>
      <x:c r="L116" s="60" t="n">
        <x:f>IF(AND($E$60=1,$E$14&gt;0),$K$8+NPV(K116,$K$9:$K$38),0)</x:f>
        <x:v>-4.3655745685100555e-11</x:v>
      </x:c>
      <x:c r="M116" s="2"/>
      <x:c r="N116" s="2"/>
      <x:c r="O116" s="2"/>
      <x:c r="P116" s="2"/>
    </x:row>
    <x:row r="117" ht="23" customHeight="1">
      <x:c r="C117" s="2"/>
      <x:c r="D117" s="2"/>
      <x:c r="E117" s="2"/>
      <x:c r="F117" s="2"/>
      <x:c r="G117" s="2"/>
      <x:c r="H117" s="2" t="n">
        <x:v>53</x:v>
      </x:c>
      <x:c r="I117" s="61" t="n">
        <x:f>IF(AND($E$60=1,$E$14&gt;0),IF(L116&gt;0,K116,I116),0)</x:f>
        <x:v>0.3993305347733606</x:v>
      </x:c>
      <x:c r="J117" s="61" t="n">
        <x:f>IF(AND($E$60=1,$E$14&gt;0),IF(L116&gt;0,J116,K116),0)</x:f>
        <x:v>0.3993305347733618</x:v>
      </x:c>
      <x:c r="K117" s="61" t="n">
        <x:f>AVERAGE(I117:J117)</x:f>
        <x:v>0.3993305347733612</x:v>
      </x:c>
      <x:c r="L117" s="60" t="n">
        <x:f>IF(AND($E$60=1,$E$14&gt;0),$K$8+NPV(K117,$K$9:$K$38),0)</x:f>
        <x:v>-1.0913936421275139e-11</x:v>
      </x:c>
      <x:c r="M117" s="2"/>
      <x:c r="N117" s="2"/>
      <x:c r="O117" s="2"/>
      <x:c r="P117" s="2"/>
    </x:row>
    <x:row r="118" ht="23" customHeight="1">
      <x:c r="C118" s="2"/>
      <x:c r="D118" s="2"/>
      <x:c r="E118" s="2"/>
      <x:c r="F118" s="2"/>
      <x:c r="G118" s="2"/>
      <x:c r="H118" s="2" t="n">
        <x:v>54</x:v>
      </x:c>
      <x:c r="I118" s="61" t="n">
        <x:f>IF(AND($E$60=1,$E$14&gt;0),IF(L117&gt;0,K117,I117),0)</x:f>
        <x:v>0.3993305347733606</x:v>
      </x:c>
      <x:c r="J118" s="61" t="n">
        <x:f>IF(AND($E$60=1,$E$14&gt;0),IF(L117&gt;0,J117,K117),0)</x:f>
        <x:v>0.3993305347733612</x:v>
      </x:c>
      <x:c r="K118" s="61" t="n">
        <x:f>AVERAGE(I118:J118)</x:f>
        <x:v>0.3993305347733609</x:v>
      </x:c>
      <x:c r="L118" s="60" t="n">
        <x:f>IF(AND($E$60=1,$E$14&gt;0),$K$8+NPV(K118,$K$9:$K$38),0)</x:f>
        <x:v>0</x:v>
      </x:c>
      <x:c r="M118" s="2"/>
      <x:c r="N118" s="2"/>
      <x:c r="O118" s="2"/>
      <x:c r="P118" s="2"/>
    </x:row>
    <x:row r="119" ht="23" customHeight="1">
      <x:c r="C119" s="2"/>
      <x:c r="D119" s="2"/>
      <x:c r="E119" s="2"/>
      <x:c r="F119" s="2"/>
      <x:c r="G119" s="2"/>
      <x:c r="H119" s="2" t="n">
        <x:v>55</x:v>
      </x:c>
      <x:c r="I119" s="61" t="n">
        <x:f>IF(AND($E$60=1,$E$14&gt;0),IF(L118&gt;0,K118,I118),0)</x:f>
        <x:v>0.3993305347733606</x:v>
      </x:c>
      <x:c r="J119" s="61" t="n">
        <x:f>IF(AND($E$60=1,$E$14&gt;0),IF(L118&gt;0,J118,K118),0)</x:f>
        <x:v>0.3993305347733609</x:v>
      </x:c>
      <x:c r="K119" s="61" t="n">
        <x:f>AVERAGE(I119:J119)</x:f>
        <x:v>0.3993305347733608</x:v>
      </x:c>
      <x:c r="L119" s="60" t="n">
        <x:f>IF(AND($E$60=1,$E$14&gt;0),$K$8+NPV(K119,$K$9:$K$38),0)</x:f>
        <x:v>1.0913936421275139e-11</x:v>
      </x:c>
      <x:c r="M119" s="2"/>
      <x:c r="N119" s="2"/>
      <x:c r="O119" s="2"/>
      <x:c r="P119" s="2"/>
    </x:row>
    <x:row r="120" ht="23" customHeight="1">
      <x:c r="C120" s="2"/>
      <x:c r="D120" s="2"/>
      <x:c r="E120" s="2"/>
      <x:c r="F120" s="2"/>
      <x:c r="G120" s="2"/>
      <x:c r="H120" s="2"/>
      <x:c r="I120" s="2"/>
      <x:c r="J120" s="2"/>
      <x:c r="K120" s="2"/>
      <x:c r="L120" s="2"/>
      <x:c r="M120" s="2"/>
      <x:c r="N120" s="2"/>
      <x:c r="O120" s="2"/>
      <x:c r="P120" s="2"/>
    </x:row>
    <x:row r="121" ht="23" customHeight="1">
      <x:c r="C121" s="2"/>
      <x:c r="D121" s="2"/>
      <x:c r="E121" s="2"/>
      <x:c r="F121" s="2"/>
      <x:c r="G121" s="2"/>
      <x:c r="H121" s="2"/>
      <x:c r="I121" s="2"/>
      <x:c r="J121" s="2"/>
      <x:c r="K121" s="2"/>
      <x:c r="L121" s="2"/>
      <x:c r="M121" s="2"/>
      <x:c r="N121" s="2"/>
      <x:c r="O121" s="2"/>
      <x:c r="P121" s="2"/>
    </x:row>
    <x:row r="122" ht="30" customHeight="1">
      <x:c r="C122" s="6" t="str">
        <x:v>NOI excludes principal, interest, replacement capital, sponsor asset-management fees and loan insurance. Scheduled P&amp;I DSCR differs from cash coverage after these costs and from a lender’s adjusted underwriting DSCR.</x:v>
      </x:c>
      <x:c r="D122" s="6"/>
      <x:c r="E122" s="6"/>
      <x:c r="F122" s="6"/>
      <x:c r="G122" s="6"/>
      <x:c r="H122" s="6"/>
      <x:c r="I122" s="6"/>
      <x:c r="J122" s="6"/>
      <x:c r="K122" s="6"/>
      <x:c r="L122" s="6"/>
      <x:c r="M122" s="6"/>
      <x:c r="N122" s="6"/>
      <x:c r="O122" s="6"/>
      <x:c r="P122" s="2"/>
    </x:row>
    <x:row r="123" ht="30" customHeight="1">
      <x:c r="C123" s="6"/>
      <x:c r="D123" s="6"/>
      <x:c r="E123" s="6"/>
      <x:c r="F123" s="6"/>
      <x:c r="G123" s="6"/>
      <x:c r="H123" s="6"/>
      <x:c r="I123" s="6"/>
      <x:c r="J123" s="6"/>
      <x:c r="K123" s="6"/>
      <x:c r="L123" s="6"/>
      <x:c r="M123" s="6"/>
      <x:c r="N123" s="6"/>
      <x:c r="O123" s="6"/>
      <x:c r="P123" s="2"/>
    </x:row>
    <x:row r="124" ht="23" customHeight="1">
      <x:c r="C124" s="2"/>
      <x:c r="D124" s="2"/>
      <x:c r="E124" s="2"/>
      <x:c r="F124" s="2"/>
      <x:c r="G124" s="2"/>
      <x:c r="H124" s="2"/>
      <x:c r="I124" s="2"/>
      <x:c r="J124" s="2"/>
      <x:c r="K124" s="2"/>
      <x:c r="L124" s="2"/>
      <x:c r="M124" s="2"/>
      <x:c r="N124" s="2"/>
      <x:c r="O124" s="2"/>
      <x:c r="P124" s="2"/>
    </x:row>
  </x:sheetData>
  <x:mergeCells>
    <x:mergeCell ref="C2:O2"/>
    <x:mergeCell ref="C4:O4"/>
    <x:mergeCell ref="H41:O43"/>
    <x:mergeCell ref="H45:O47"/>
    <x:mergeCell ref="H49:O51"/>
    <x:mergeCell ref="H59:O61"/>
    <x:mergeCell ref="C122:O123"/>
  </x:mergeCells>
  <x:conditionalFormatting sqref="K9:K38">
    <x:cfRule type="expression" dxfId="3" priority="1">
      <x:formula>H9=""</x:formula>
    </x:cfRule>
  </x:conditionalFormatting>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200000047683716" hidden="0" customWidth="1"/>
    <x:col min="2" max="2" width="2.200000047683716" hidden="0" customWidth="1"/>
    <x:col min="3" max="3" width="8"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 min="17" max="17" width="16" hidden="0" customWidth="1"/>
    <x:col min="18" max="18" width="16" hidden="0" customWidth="1"/>
    <x:col min="19" max="19" width="16" hidden="0" customWidth="1"/>
    <x:col min="20" max="20" width="16" hidden="0" customWidth="1"/>
    <x:col min="21" max="21" width="16" hidden="0" customWidth="1"/>
    <x:col min="22" max="22" width="14" hidden="0" customWidth="1"/>
    <x:col min="23" max="23" width="14" hidden="0" customWidth="1"/>
  </x:cols>
  <x:sheetData>
    <x:row r="2" ht="31" customHeight="1">
      <x:c r="C2" s="3" t="str">
        <x:v>Annual projection</x:v>
      </x:c>
      <x:c r="D2" s="3"/>
      <x:c r="E2" s="3"/>
      <x:c r="F2" s="3"/>
      <x:c r="G2" s="3"/>
      <x:c r="H2" s="3"/>
      <x:c r="I2" s="3"/>
      <x:c r="J2" s="3"/>
      <x:c r="K2" s="3"/>
      <x:c r="L2" s="3"/>
      <x:c r="M2" s="3"/>
      <x:c r="N2" s="3"/>
      <x:c r="O2" s="2"/>
      <x:c r="P2" s="2"/>
      <x:c r="Q2" s="2"/>
      <x:c r="R2" s="2"/>
      <x:c r="S2" s="2"/>
      <x:c r="T2" s="2"/>
      <x:c r="U2" s="2"/>
      <x:c r="V2" s="2"/>
      <x:c r="W2" s="2"/>
    </x:row>
    <x:row r="3" ht="23" customHeight="1">
      <x:c r="C3" s="4"/>
      <x:c r="D3" s="4"/>
      <x:c r="E3" s="4"/>
      <x:c r="F3" s="4"/>
      <x:c r="G3" s="4"/>
      <x:c r="H3" s="4"/>
      <x:c r="I3" s="4"/>
      <x:c r="J3" s="4"/>
      <x:c r="K3" s="4"/>
      <x:c r="L3" s="4"/>
      <x:c r="M3" s="4"/>
      <x:c r="N3" s="4"/>
      <x:c r="O3" s="2"/>
      <x:c r="P3" s="2"/>
      <x:c r="Q3" s="2"/>
      <x:c r="R3" s="2"/>
      <x:c r="S3" s="2"/>
      <x:c r="T3" s="2"/>
      <x:c r="U3" s="2"/>
      <x:c r="V3" s="2"/>
      <x:c r="W3" s="2"/>
    </x:row>
    <x:row r="4" ht="28" customHeight="1">
      <x:c r="C4" s="6" t="str">
        <x:v>Years beyond the selected holding period are blank. Sale occurs after that year’s scheduled loan payments. A pre-sale maturity balloon is an additional capital need.</x:v>
      </x:c>
      <x:c r="D4" s="6"/>
      <x:c r="E4" s="6"/>
      <x:c r="F4" s="6"/>
      <x:c r="G4" s="6"/>
      <x:c r="H4" s="6"/>
      <x:c r="I4" s="6"/>
      <x:c r="J4" s="6"/>
      <x:c r="K4" s="6"/>
      <x:c r="L4" s="6"/>
      <x:c r="M4" s="6"/>
      <x:c r="N4" s="6"/>
      <x:c r="O4" s="2"/>
      <x:c r="P4" s="2"/>
      <x:c r="Q4" s="2"/>
      <x:c r="R4" s="2"/>
      <x:c r="S4" s="2"/>
      <x:c r="T4" s="2"/>
      <x:c r="U4" s="2"/>
      <x:c r="V4" s="2"/>
      <x:c r="W4" s="2"/>
    </x:row>
    <x:row r="5" ht="23" customHeight="1">
      <x:c r="C5" s="2"/>
      <x:c r="D5" s="2"/>
      <x:c r="E5" s="2"/>
      <x:c r="F5" s="2"/>
      <x:c r="G5" s="2"/>
      <x:c r="H5" s="2"/>
      <x:c r="I5" s="2"/>
      <x:c r="J5" s="2"/>
      <x:c r="K5" s="2"/>
      <x:c r="L5" s="2"/>
      <x:c r="M5" s="2"/>
      <x:c r="N5" s="2"/>
      <x:c r="O5" s="2"/>
      <x:c r="P5" s="2"/>
      <x:c r="Q5" s="2"/>
      <x:c r="R5" s="2"/>
      <x:c r="S5" s="2"/>
      <x:c r="T5" s="2"/>
      <x:c r="U5" s="2"/>
      <x:c r="V5" s="2"/>
      <x:c r="W5" s="2"/>
    </x:row>
    <x:row r="6" ht="23" customHeight="1">
      <x:c r="C6" s="2"/>
      <x:c r="D6" s="2"/>
      <x:c r="E6" s="2"/>
      <x:c r="F6" s="2"/>
      <x:c r="G6" s="2"/>
      <x:c r="H6" s="2"/>
      <x:c r="I6" s="2"/>
      <x:c r="J6" s="2"/>
      <x:c r="K6" s="2"/>
      <x:c r="L6" s="2"/>
      <x:c r="M6" s="2"/>
      <x:c r="N6" s="2"/>
      <x:c r="O6" s="2"/>
      <x:c r="P6" s="2"/>
      <x:c r="Q6" s="2"/>
      <x:c r="R6" s="2"/>
      <x:c r="S6" s="2"/>
      <x:c r="T6" s="2"/>
      <x:c r="U6" s="2"/>
      <x:c r="V6" s="2"/>
      <x:c r="W6" s="2"/>
    </x:row>
    <x:row r="7" ht="23" customHeight="1">
      <x:c r="C7" s="2"/>
      <x:c r="D7" s="2"/>
      <x:c r="E7" s="2"/>
      <x:c r="F7" s="2"/>
      <x:c r="G7" s="2"/>
      <x:c r="H7" s="2"/>
      <x:c r="I7" s="2"/>
      <x:c r="J7" s="2"/>
      <x:c r="K7" s="2"/>
      <x:c r="L7" s="2"/>
      <x:c r="M7" s="2"/>
      <x:c r="N7" s="2"/>
      <x:c r="O7" s="2"/>
      <x:c r="P7" s="2"/>
      <x:c r="Q7" s="2"/>
      <x:c r="R7" s="2"/>
      <x:c r="S7" s="2"/>
      <x:c r="T7" s="2"/>
      <x:c r="U7" s="2"/>
      <x:c r="V7" s="2"/>
      <x:c r="W7" s="2"/>
    </x:row>
    <x:row r="8" ht="23" customHeight="1">
      <x:c r="C8" s="2"/>
      <x:c r="D8" s="2"/>
      <x:c r="E8" s="2"/>
      <x:c r="F8" s="2"/>
      <x:c r="G8" s="2"/>
      <x:c r="H8" s="2"/>
      <x:c r="I8" s="2"/>
      <x:c r="J8" s="2"/>
      <x:c r="K8" s="2"/>
      <x:c r="L8" s="2"/>
      <x:c r="M8" s="2"/>
      <x:c r="N8" s="2"/>
      <x:c r="O8" s="2"/>
      <x:c r="P8" s="2"/>
      <x:c r="Q8" s="2"/>
      <x:c r="R8" s="2"/>
      <x:c r="S8" s="2"/>
      <x:c r="T8" s="2"/>
      <x:c r="U8" s="2"/>
      <x:c r="V8" s="2"/>
      <x:c r="W8" s="2"/>
    </x:row>
    <x:row r="9" ht="49" customHeight="1">
      <x:c r="C9" s="15" t="str">
        <x:v>Year</x:v>
      </x:c>
      <x:c r="D9" s="16" t="str">
        <x:v>Gross rent</x:v>
      </x:c>
      <x:c r="E9" s="16" t="str">
        <x:v>Other income</x:v>
      </x:c>
      <x:c r="F9" s="16" t="str">
        <x:v>Vacancy loss</x:v>
      </x:c>
      <x:c r="G9" s="16" t="str">
        <x:v>Effective income</x:v>
      </x:c>
      <x:c r="H9" s="16" t="str">
        <x:v>Operating expenses</x:v>
      </x:c>
      <x:c r="I9" s="16" t="str">
        <x:v>NOI</x:v>
      </x:c>
      <x:c r="J9" s="16" t="str">
        <x:v>Capex allowance</x:v>
      </x:c>
      <x:c r="K9" s="16" t="str">
        <x:v>Sponsor / loan fees</x:v>
      </x:c>
      <x:c r="L9" s="16" t="str">
        <x:v>Scheduled P&amp;I</x:v>
      </x:c>
      <x:c r="M9" s="16" t="str">
        <x:v>Maturity balloon</x:v>
      </x:c>
      <x:c r="N9" s="16" t="str">
        <x:v>Owner cash flow</x:v>
      </x:c>
      <x:c r="O9" s="16" t="str">
        <x:v>Beginning loan</x:v>
      </x:c>
      <x:c r="P9" s="16" t="str">
        <x:v>Before-balloon loan</x:v>
      </x:c>
      <x:c r="Q9" s="16" t="str">
        <x:v>Principal paydown</x:v>
      </x:c>
      <x:c r="R9" s="16" t="str">
        <x:v>Ending loan</x:v>
      </x:c>
      <x:c r="S9" s="16" t="str">
        <x:v>Property value</x:v>
      </x:c>
      <x:c r="T9" s="16" t="str">
        <x:v>Owner equity</x:v>
      </x:c>
      <x:c r="U9" s="16" t="str">
        <x:v>Interest paid</x:v>
      </x:c>
      <x:c r="V9" s="16" t="str">
        <x:v>NOI DSCR</x:v>
      </x:c>
      <x:c r="W9" s="17" t="str">
        <x:v>Cash coverage</x:v>
      </x:c>
    </x:row>
    <x:row r="10" ht="23" customHeight="1">
      <x:c r="C10" s="62" t="n">
        <x:f>IF(1&lt;='Inputs'!$E$45,1,"")</x:f>
        <x:v>1</x:v>
      </x:c>
      <x:c r="D10" s="33" t="n">
        <x:f>IF($C10="","",'Inputs'!$E$24*12*(1+'Inputs'!$E$40)^($C10-1))</x:f>
        <x:v>24600</x:v>
      </x:c>
      <x:c r="E10" s="33" t="n">
        <x:f>IF($C10="","",'Inputs'!$E$25*12*(1+'Inputs'!$E$40)^($C10-1))</x:f>
        <x:v>0</x:v>
      </x:c>
      <x:c r="F10" s="33" t="n">
        <x:f>IF($C10="","",SUM(D10:E10)*'Inputs'!$E$26)</x:f>
        <x:v>1230</x:v>
      </x:c>
      <x:c r="G10" s="35" t="n">
        <x:f>IF($C10="","",SUM(D10:E10)-F10)</x:f>
        <x:v>23370</x:v>
      </x:c>
      <x:c r="H10" s="33" t="n">
        <x:f>IF($C10="","",G10*'Inputs'!$E$27+'Property Model'!$E$27*(1+'Inputs'!$E$41)^($C10-1))</x:f>
        <x:v>8120.620000000001</x:v>
      </x:c>
      <x:c r="I10" s="49" t="n">
        <x:f>IF($C10="","",G10-H10)</x:f>
        <x:v>15249.38</x:v>
      </x:c>
      <x:c r="J10" s="33" t="n">
        <x:f>IF($C10="","",'Inputs'!$E$35*(1+'Inputs'!$E$41)^($C10-1))</x:f>
        <x:v>1200</x:v>
      </x:c>
      <x:c r="K10" s="33" t="n">
        <x:f>IF($C10="","",IF('Inputs'!$E$56="On",G10*'Inputs'!$E$62,0)+'Inputs'!$E$36*(1+'Inputs'!$E$41)^($C10-1))</x:f>
        <x:v>0</x:v>
      </x:c>
      <x:c r="L10" s="33" t="n">
        <x:f>IF($C10="","",IF(O10&lt;=0,0,'Property Model'!$E$18*MIN(12,MAX(0,('Inputs'!$E$20-$C10+1)*12))))</x:f>
        <x:v>10910.01313029788</x:v>
      </x:c>
      <x:c r="M10" s="35" t="n">
        <x:f>IF($C10="","",IF(AND($C10='Inputs'!$E$19,$C10&lt;'Inputs'!$E$45),P10,0))</x:f>
        <x:v>0</x:v>
      </x:c>
      <x:c r="N10" s="49" t="n">
        <x:f>IF($C10="","",I10-SUM(J10:M10))</x:f>
        <x:v>3139.3668697021185</x:v>
      </x:c>
      <x:c r="O10" s="33" t="n">
        <x:f>IF($C10="","",'Property Model'!$E$13)</x:f>
        <x:v>208905</x:v>
      </x:c>
      <x:c r="P10" s="33" t="n">
        <x:f>IF($C10="","",IF(OR(O10&lt;=0,$C10&gt;='Inputs'!$E$20),0,MAX(0,-FV('Inputs'!$E$18/12,12,-'Property Model'!$E$18,O10))))</x:f>
        <x:v>204722.46207509833</x:v>
      </x:c>
      <x:c r="Q10" s="35" t="n">
        <x:f>IF($C10="","",O10-P10)</x:f>
        <x:v>4182.53792490167</x:v>
      </x:c>
      <x:c r="R10" s="49" t="n">
        <x:f>IF($C10="","",P10-M10)</x:f>
        <x:v>204722.46207509833</x:v>
      </x:c>
      <x:c r="S10" s="33" t="n">
        <x:f>IF($C10="","",IF($C10='Inputs'!$E$45,'Property Model'!$E$43,'Property Model'!$E$16*(1+'Inputs'!$E$42)^$C10))</x:f>
        <x:v>226497</x:v>
      </x:c>
      <x:c r="T10" s="49" t="n">
        <x:f>IF($C10="","",S10-R10)</x:f>
        <x:v>21774.53792490167</x:v>
      </x:c>
      <x:c r="U10" s="35" t="n">
        <x:f>IF($C10="","",L10-Q10)</x:f>
        <x:v>6727.475205396211</x:v>
      </x:c>
      <x:c r="V10" s="41" t="n">
        <x:f>IF($C10="","",IF(L10=0,"n.a.",I10/L10))</x:f>
        <x:v>1.3977416725238752</x:v>
      </x:c>
      <x:c r="W10" s="41" t="n">
        <x:f>IF($C10="","",IF(L10=0,"n.a.",(I10-J10-K10)/L10))</x:f>
        <x:v>1.2877509708016641</x:v>
      </x:c>
    </x:row>
    <x:row r="11" ht="23" customHeight="1">
      <x:c r="C11" s="62" t="n">
        <x:f>IF(2&lt;='Inputs'!$E$45,2,"")</x:f>
        <x:v>2</x:v>
      </x:c>
      <x:c r="D11" s="33" t="n">
        <x:f>IF($C11="","",'Inputs'!$E$24*12*(1+'Inputs'!$E$40)^($C11-1))</x:f>
        <x:v>25338</x:v>
      </x:c>
      <x:c r="E11" s="33" t="n">
        <x:f>IF($C11="","",'Inputs'!$E$25*12*(1+'Inputs'!$E$40)^($C11-1))</x:f>
        <x:v>0</x:v>
      </x:c>
      <x:c r="F11" s="33" t="n">
        <x:f>IF($C11="","",SUM(D11:E11)*'Inputs'!$E$26)</x:f>
        <x:v>1266.9</x:v>
      </x:c>
      <x:c r="G11" s="35" t="n">
        <x:f>IF($C11="","",SUM(D11:E11)-F11)</x:f>
        <x:v>24071.1</x:v>
      </x:c>
      <x:c r="H11" s="33" t="n">
        <x:f>IF($C11="","",G11*'Inputs'!$E$27+'Property Model'!$E$27*(1+'Inputs'!$E$41)^($C11-1))</x:f>
        <x:v>8364.2386</x:v>
      </x:c>
      <x:c r="I11" s="49" t="n">
        <x:f>IF($C11="","",G11-H11)</x:f>
        <x:v>15706.861399999998</x:v>
      </x:c>
      <x:c r="J11" s="33" t="n">
        <x:f>IF($C11="","",'Inputs'!$E$35*(1+'Inputs'!$E$41)^($C11-1))</x:f>
        <x:v>1236</x:v>
      </x:c>
      <x:c r="K11" s="33" t="n">
        <x:f>IF($C11="","",IF('Inputs'!$E$56="On",G11*'Inputs'!$E$62,0)+'Inputs'!$E$36*(1+'Inputs'!$E$41)^($C11-1))</x:f>
        <x:v>0</x:v>
      </x:c>
      <x:c r="L11" s="33" t="n">
        <x:f>IF($C11="","",IF(O11&lt;=0,0,'Property Model'!$E$18*MIN(12,MAX(0,('Inputs'!$E$20-$C11+1)*12))))</x:f>
        <x:v>10910.01313029788</x:v>
      </x:c>
      <x:c r="M11" s="35" t="n">
        <x:f>IF($C11="","",IF(AND($C11='Inputs'!$E$19,$C11&lt;'Inputs'!$E$45),P11,0))</x:f>
        <x:v>0</x:v>
      </x:c>
      <x:c r="N11" s="49" t="n">
        <x:f>IF($C11="","",I11-SUM(J11:M11))</x:f>
        <x:v>3560.8482697021172</x:v>
      </x:c>
      <x:c r="O11" s="35" t="n">
        <x:f>IF($C11="","",R10)</x:f>
        <x:v>204722.46207509833</x:v>
      </x:c>
      <x:c r="P11" s="33" t="n">
        <x:f>IF($C11="","",IF(OR(O11&lt;=0,$C11&gt;='Inputs'!$E$20),0,MAX(0,-FV('Inputs'!$E$18/12,12,-'Property Model'!$E$18,O11))))</x:f>
        <x:v>200401.9484484628</x:v>
      </x:c>
      <x:c r="Q11" s="35" t="n">
        <x:f>IF($C11="","",O11-P11)</x:f>
        <x:v>4320.51362663554</x:v>
      </x:c>
      <x:c r="R11" s="49" t="n">
        <x:f>IF($C11="","",P11-M11)</x:f>
        <x:v>200401.9484484628</x:v>
      </x:c>
      <x:c r="S11" s="33" t="n">
        <x:f>IF($C11="","",IF($C11='Inputs'!$E$45,'Property Model'!$E$43,'Property Model'!$E$16*(1+'Inputs'!$E$42)^$C11))</x:f>
        <x:v>233291.91</x:v>
      </x:c>
      <x:c r="T11" s="49" t="n">
        <x:f>IF($C11="","",S11-R11)</x:f>
        <x:v>32889.96155153721</x:v>
      </x:c>
      <x:c r="U11" s="35" t="n">
        <x:f>IF($C11="","",L11-Q11)</x:f>
        <x:v>6589.49950366234</x:v>
      </x:c>
      <x:c r="V11" s="41" t="n">
        <x:f>IF($C11="","",IF(L11=0,"n.a.",I11/L11))</x:f>
        <x:v>1.4396739226995914</x:v>
      </x:c>
      <x:c r="W11" s="41" t="n">
        <x:f>IF($C11="","",IF(L11=0,"n.a.",(I11-J11-K11)/L11))</x:f>
        <x:v>1.326383499925714</x:v>
      </x:c>
    </x:row>
    <x:row r="12" ht="23" customHeight="1">
      <x:c r="C12" s="62" t="n">
        <x:f>IF(3&lt;='Inputs'!$E$45,3,"")</x:f>
        <x:v>3</x:v>
      </x:c>
      <x:c r="D12" s="33" t="n">
        <x:f>IF($C12="","",'Inputs'!$E$24*12*(1+'Inputs'!$E$40)^($C12-1))</x:f>
        <x:v>26098.14</x:v>
      </x:c>
      <x:c r="E12" s="33" t="n">
        <x:f>IF($C12="","",'Inputs'!$E$25*12*(1+'Inputs'!$E$40)^($C12-1))</x:f>
        <x:v>0</x:v>
      </x:c>
      <x:c r="F12" s="33" t="n">
        <x:f>IF($C12="","",SUM(D12:E12)*'Inputs'!$E$26)</x:f>
        <x:v>1304.9070000000002</x:v>
      </x:c>
      <x:c r="G12" s="35" t="n">
        <x:f>IF($C12="","",SUM(D12:E12)-F12)</x:f>
        <x:v>24793.233</x:v>
      </x:c>
      <x:c r="H12" s="33" t="n">
        <x:f>IF($C12="","",G12*'Inputs'!$E$27+'Property Model'!$E$27*(1+'Inputs'!$E$41)^($C12-1))</x:f>
        <x:v>8615.165758</x:v>
      </x:c>
      <x:c r="I12" s="49" t="n">
        <x:f>IF($C12="","",G12-H12)</x:f>
        <x:v>16178.067242000001</x:v>
      </x:c>
      <x:c r="J12" s="33" t="n">
        <x:f>IF($C12="","",'Inputs'!$E$35*(1+'Inputs'!$E$41)^($C12-1))</x:f>
        <x:v>1273.08</x:v>
      </x:c>
      <x:c r="K12" s="33" t="n">
        <x:f>IF($C12="","",IF('Inputs'!$E$56="On",G12*'Inputs'!$E$62,0)+'Inputs'!$E$36*(1+'Inputs'!$E$41)^($C12-1))</x:f>
        <x:v>0</x:v>
      </x:c>
      <x:c r="L12" s="33" t="n">
        <x:f>IF($C12="","",IF(O12&lt;=0,0,'Property Model'!$E$18*MIN(12,MAX(0,('Inputs'!$E$20-$C12+1)*12))))</x:f>
        <x:v>10910.01313029788</x:v>
      </x:c>
      <x:c r="M12" s="35" t="n">
        <x:f>IF($C12="","",IF(AND($C12='Inputs'!$E$19,$C12&lt;'Inputs'!$E$45),P12,0))</x:f>
        <x:v>0</x:v>
      </x:c>
      <x:c r="N12" s="49" t="n">
        <x:f>IF($C12="","",I12-SUM(J12:M12))</x:f>
        <x:v>3994.9741117021204</x:v>
      </x:c>
      <x:c r="O12" s="35" t="n">
        <x:f>IF($C12="","",R11)</x:f>
        <x:v>200401.9484484628</x:v>
      </x:c>
      <x:c r="P12" s="33" t="n">
        <x:f>IF($C12="","",IF(OR(O12&lt;=0,$C12&gt;='Inputs'!$E$20),0,MAX(0,-FV('Inputs'!$E$18/12,12,-'Property Model'!$E$18,O12))))</x:f>
        <x:v>195938.90750702718</x:v>
      </x:c>
      <x:c r="Q12" s="35" t="n">
        <x:f>IF($C12="","",O12-P12)</x:f>
        <x:v>4463.040941435611</x:v>
      </x:c>
      <x:c r="R12" s="49" t="n">
        <x:f>IF($C12="","",P12-M12)</x:f>
        <x:v>195938.90750702718</x:v>
      </x:c>
      <x:c r="S12" s="33" t="n">
        <x:f>IF($C12="","",IF($C12='Inputs'!$E$45,'Property Model'!$E$43,'Property Model'!$E$16*(1+'Inputs'!$E$42)^$C12))</x:f>
        <x:v>240290.6673</x:v>
      </x:c>
      <x:c r="T12" s="49" t="n">
        <x:f>IF($C12="","",S12-R12)</x:f>
        <x:v>44351.75979297282</x:v>
      </x:c>
      <x:c r="U12" s="35" t="n">
        <x:f>IF($C12="","",L12-Q12)</x:f>
        <x:v>6446.97218886227</x:v>
      </x:c>
      <x:c r="V12" s="41" t="n">
        <x:f>IF($C12="","",IF(L12=0,"n.a.",I12/L12))</x:f>
        <x:v>1.4828641403805793</x:v>
      </x:c>
      <x:c r="W12" s="41" t="n">
        <x:f>IF($C12="","",IF(L12=0,"n.a.",(I12-J12-K12)/L12))</x:f>
        <x:v>1.3661750049234858</x:v>
      </x:c>
    </x:row>
    <x:row r="13" ht="23" customHeight="1">
      <x:c r="C13" s="62" t="n">
        <x:f>IF(4&lt;='Inputs'!$E$45,4,"")</x:f>
        <x:v>4</x:v>
      </x:c>
      <x:c r="D13" s="33" t="n">
        <x:f>IF($C13="","",'Inputs'!$E$24*12*(1+'Inputs'!$E$40)^($C13-1))</x:f>
        <x:v>26881.0842</x:v>
      </x:c>
      <x:c r="E13" s="33" t="n">
        <x:f>IF($C13="","",'Inputs'!$E$25*12*(1+'Inputs'!$E$40)^($C13-1))</x:f>
        <x:v>0</x:v>
      </x:c>
      <x:c r="F13" s="33" t="n">
        <x:f>IF($C13="","",SUM(D13:E13)*'Inputs'!$E$26)</x:f>
        <x:v>1344.0542100000002</x:v>
      </x:c>
      <x:c r="G13" s="35" t="n">
        <x:f>IF($C13="","",SUM(D13:E13)-F13)</x:f>
        <x:v>25537.029990000003</x:v>
      </x:c>
      <x:c r="H13" s="33" t="n">
        <x:f>IF($C13="","",G13*'Inputs'!$E$27+'Property Model'!$E$27*(1+'Inputs'!$E$41)^($C13-1))</x:f>
        <x:v>8873.62073074</x:v>
      </x:c>
      <x:c r="I13" s="49" t="n">
        <x:f>IF($C13="","",G13-H13)</x:f>
        <x:v>16663.409259260003</x:v>
      </x:c>
      <x:c r="J13" s="33" t="n">
        <x:f>IF($C13="","",'Inputs'!$E$35*(1+'Inputs'!$E$41)^($C13-1))</x:f>
        <x:v>1311.2724</x:v>
      </x:c>
      <x:c r="K13" s="33" t="n">
        <x:f>IF($C13="","",IF('Inputs'!$E$56="On",G13*'Inputs'!$E$62,0)+'Inputs'!$E$36*(1+'Inputs'!$E$41)^($C13-1))</x:f>
        <x:v>0</x:v>
      </x:c>
      <x:c r="L13" s="33" t="n">
        <x:f>IF($C13="","",IF(O13&lt;=0,0,'Property Model'!$E$18*MIN(12,MAX(0,('Inputs'!$E$20-$C13+1)*12))))</x:f>
        <x:v>10910.01313029788</x:v>
      </x:c>
      <x:c r="M13" s="35" t="n">
        <x:f>IF($C13="","",IF(AND($C13='Inputs'!$E$19,$C13&lt;'Inputs'!$E$45),P13,0))</x:f>
        <x:v>0</x:v>
      </x:c>
      <x:c r="N13" s="49" t="n">
        <x:f>IF($C13="","",I13-SUM(J13:M13))</x:f>
        <x:v>4442.123728962122</x:v>
      </x:c>
      <x:c r="O13" s="35" t="n">
        <x:f>IF($C13="","",R12)</x:f>
        <x:v>195938.90750702718</x:v>
      </x:c>
      <x:c r="P13" s="33" t="n">
        <x:f>IF($C13="","",IF(OR(O13&lt;=0,$C13&gt;='Inputs'!$E$20),0,MAX(0,-FV('Inputs'!$E$18/12,12,-'Property Model'!$E$18,O13))))</x:f>
        <x:v>191328.63748678387</x:v>
      </x:c>
      <x:c r="Q13" s="35" t="n">
        <x:f>IF($C13="","",O13-P13)</x:f>
        <x:v>4610.270020243304</x:v>
      </x:c>
      <x:c r="R13" s="49" t="n">
        <x:f>IF($C13="","",P13-M13)</x:f>
        <x:v>191328.63748678387</x:v>
      </x:c>
      <x:c r="S13" s="33" t="n">
        <x:f>IF($C13="","",IF($C13='Inputs'!$E$45,'Property Model'!$E$43,'Property Model'!$E$16*(1+'Inputs'!$E$42)^$C13))</x:f>
        <x:v>247499.38731900003</x:v>
      </x:c>
      <x:c r="T13" s="49" t="n">
        <x:f>IF($C13="","",S13-R13)</x:f>
        <x:v>56170.749832216155</x:v>
      </x:c>
      <x:c r="U13" s="35" t="n">
        <x:f>IF($C13="","",L13-Q13)</x:f>
        <x:v>6299.743110054576</x:v>
      </x:c>
      <x:c r="V13" s="41" t="n">
        <x:f>IF($C13="","",IF(L13=0,"n.a.",I13/L13))</x:f>
        <x:v>1.5273500645919968</x:v>
      </x:c>
      <x:c r="W13" s="41" t="n">
        <x:f>IF($C13="","",IF(L13=0,"n.a.",(I13-J13-K13)/L13))</x:f>
        <x:v>1.4071602550711904</x:v>
      </x:c>
    </x:row>
    <x:row r="14" ht="23" customHeight="1">
      <x:c r="C14" s="62" t="n">
        <x:f>IF(5&lt;='Inputs'!$E$45,5,"")</x:f>
        <x:v>5</x:v>
      </x:c>
      <x:c r="D14" s="33" t="n">
        <x:f>IF($C14="","",'Inputs'!$E$24*12*(1+'Inputs'!$E$40)^($C14-1))</x:f>
        <x:v>27687.516726</x:v>
      </x:c>
      <x:c r="E14" s="33" t="n">
        <x:f>IF($C14="","",'Inputs'!$E$25*12*(1+'Inputs'!$E$40)^($C14-1))</x:f>
        <x:v>0</x:v>
      </x:c>
      <x:c r="F14" s="33" t="n">
        <x:f>IF($C14="","",SUM(D14:E14)*'Inputs'!$E$26)</x:f>
        <x:v>1384.3758363000002</x:v>
      </x:c>
      <x:c r="G14" s="35" t="n">
        <x:f>IF($C14="","",SUM(D14:E14)-F14)</x:f>
        <x:v>26303.1408897</x:v>
      </x:c>
      <x:c r="H14" s="33" t="n">
        <x:f>IF($C14="","",G14*'Inputs'!$E$27+'Property Model'!$E$27*(1+'Inputs'!$E$41)^($C14-1))</x:f>
        <x:v>9139.8293526622</x:v>
      </x:c>
      <x:c r="I14" s="49" t="n">
        <x:f>IF($C14="","",G14-H14)</x:f>
        <x:v>17163.3115370378</x:v>
      </x:c>
      <x:c r="J14" s="33" t="n">
        <x:f>IF($C14="","",'Inputs'!$E$35*(1+'Inputs'!$E$41)^($C14-1))</x:f>
        <x:v>1350.6105720000003</x:v>
      </x:c>
      <x:c r="K14" s="33" t="n">
        <x:f>IF($C14="","",IF('Inputs'!$E$56="On",G14*'Inputs'!$E$62,0)+'Inputs'!$E$36*(1+'Inputs'!$E$41)^($C14-1))</x:f>
        <x:v>0</x:v>
      </x:c>
      <x:c r="L14" s="33" t="n">
        <x:f>IF($C14="","",IF(O14&lt;=0,0,'Property Model'!$E$18*MIN(12,MAX(0,('Inputs'!$E$20-$C14+1)*12))))</x:f>
        <x:v>10910.01313029788</x:v>
      </x:c>
      <x:c r="M14" s="35" t="n">
        <x:f>IF($C14="","",IF(AND($C14='Inputs'!$E$19,$C14&lt;'Inputs'!$E$45),P14,0))</x:f>
        <x:v>0</x:v>
      </x:c>
      <x:c r="N14" s="49" t="n">
        <x:f>IF($C14="","",I14-SUM(J14:M14))</x:f>
        <x:v>4902.68783473992</x:v>
      </x:c>
      <x:c r="O14" s="35" t="n">
        <x:f>IF($C14="","",R13)</x:f>
        <x:v>191328.63748678387</x:v>
      </x:c>
      <x:c r="P14" s="33" t="n">
        <x:f>IF($C14="","",IF(OR(O14&lt;=0,$C14&gt;='Inputs'!$E$20),0,MAX(0,-FV('Inputs'!$E$18/12,12,-'Property Model'!$E$18,O14))))</x:f>
        <x:v>186566.28151952778</x:v>
      </x:c>
      <x:c r="Q14" s="35" t="n">
        <x:f>IF($C14="","",O14-P14)</x:f>
        <x:v>4762.355967256095</x:v>
      </x:c>
      <x:c r="R14" s="49" t="n">
        <x:f>IF($C14="","",P14-M14)</x:f>
        <x:v>186566.28151952778</x:v>
      </x:c>
      <x:c r="S14" s="33" t="n">
        <x:f>IF($C14="","",IF($C14='Inputs'!$E$45,'Property Model'!$E$43,'Property Model'!$E$16*(1+'Inputs'!$E$42)^$C14))</x:f>
        <x:v>254924.36893857003</x:v>
      </x:c>
      <x:c r="T14" s="49" t="n">
        <x:f>IF($C14="","",S14-R14)</x:f>
        <x:v>68358.08741904225</x:v>
      </x:c>
      <x:c r="U14" s="35" t="n">
        <x:f>IF($C14="","",L14-Q14)</x:f>
        <x:v>6147.657163041786</x:v>
      </x:c>
      <x:c r="V14" s="41" t="n">
        <x:f>IF($C14="","",IF(L14=0,"n.a.",I14/L14))</x:f>
        <x:v>1.5731705665297566</x:v>
      </x:c>
      <x:c r="W14" s="41" t="n">
        <x:f>IF($C14="","",IF(L14=0,"n.a.",(I14-J14-K14)/L14))</x:f>
        <x:v>1.449375062723326</x:v>
      </x:c>
    </x:row>
    <x:row r="15" ht="23" customHeight="1">
      <x:c r="C15" s="62" t="str">
        <x:f>IF(6&lt;='Inputs'!$E$45,6,"")</x:f>
      </x:c>
      <x:c r="D15" s="33" t="str">
        <x:f>IF($C15="","",'Inputs'!$E$24*12*(1+'Inputs'!$E$40)^($C15-1))</x:f>
      </x:c>
      <x:c r="E15" s="33" t="str">
        <x:f>IF($C15="","",'Inputs'!$E$25*12*(1+'Inputs'!$E$40)^($C15-1))</x:f>
      </x:c>
      <x:c r="F15" s="33" t="str">
        <x:f>IF($C15="","",SUM(D15:E15)*'Inputs'!$E$26)</x:f>
      </x:c>
      <x:c r="G15" s="35" t="str">
        <x:f>IF($C15="","",SUM(D15:E15)-F15)</x:f>
      </x:c>
      <x:c r="H15" s="33" t="str">
        <x:f>IF($C15="","",G15*'Inputs'!$E$27+'Property Model'!$E$27*(1+'Inputs'!$E$41)^($C15-1))</x:f>
      </x:c>
      <x:c r="I15" s="49" t="str">
        <x:f>IF($C15="","",G15-H15)</x:f>
      </x:c>
      <x:c r="J15" s="33" t="str">
        <x:f>IF($C15="","",'Inputs'!$E$35*(1+'Inputs'!$E$41)^($C15-1))</x:f>
      </x:c>
      <x:c r="K15" s="33" t="str">
        <x:f>IF($C15="","",IF('Inputs'!$E$56="On",G15*'Inputs'!$E$62,0)+'Inputs'!$E$36*(1+'Inputs'!$E$41)^($C15-1))</x:f>
      </x:c>
      <x:c r="L15" s="33" t="str">
        <x:f>IF($C15="","",IF(O15&lt;=0,0,'Property Model'!$E$18*MIN(12,MAX(0,('Inputs'!$E$20-$C15+1)*12))))</x:f>
      </x:c>
      <x:c r="M15" s="35" t="str">
        <x:f>IF($C15="","",IF(AND($C15='Inputs'!$E$19,$C15&lt;'Inputs'!$E$45),P15,0))</x:f>
      </x:c>
      <x:c r="N15" s="49" t="str">
        <x:f>IF($C15="","",I15-SUM(J15:M15))</x:f>
      </x:c>
      <x:c r="O15" s="35" t="str">
        <x:f>IF($C15="","",R14)</x:f>
      </x:c>
      <x:c r="P15" s="33" t="str">
        <x:f>IF($C15="","",IF(OR(O15&lt;=0,$C15&gt;='Inputs'!$E$20),0,MAX(0,-FV('Inputs'!$E$18/12,12,-'Property Model'!$E$18,O15))))</x:f>
      </x:c>
      <x:c r="Q15" s="35" t="str">
        <x:f>IF($C15="","",O15-P15)</x:f>
      </x:c>
      <x:c r="R15" s="49" t="str">
        <x:f>IF($C15="","",P15-M15)</x:f>
      </x:c>
      <x:c r="S15" s="33" t="str">
        <x:f>IF($C15="","",IF($C15='Inputs'!$E$45,'Property Model'!$E$43,'Property Model'!$E$16*(1+'Inputs'!$E$42)^$C15))</x:f>
      </x:c>
      <x:c r="T15" s="49" t="str">
        <x:f>IF($C15="","",S15-R15)</x:f>
      </x:c>
      <x:c r="U15" s="35" t="str">
        <x:f>IF($C15="","",L15-Q15)</x:f>
      </x:c>
      <x:c r="V15" s="41" t="str">
        <x:f>IF($C15="","",IF(L15=0,"n.a.",I15/L15))</x:f>
      </x:c>
      <x:c r="W15" s="41" t="str">
        <x:f>IF($C15="","",IF(L15=0,"n.a.",(I15-J15-K15)/L15))</x:f>
      </x:c>
    </x:row>
    <x:row r="16" ht="23" customHeight="1">
      <x:c r="C16" s="62" t="str">
        <x:f>IF(7&lt;='Inputs'!$E$45,7,"")</x:f>
      </x:c>
      <x:c r="D16" s="33" t="str">
        <x:f>IF($C16="","",'Inputs'!$E$24*12*(1+'Inputs'!$E$40)^($C16-1))</x:f>
      </x:c>
      <x:c r="E16" s="33" t="str">
        <x:f>IF($C16="","",'Inputs'!$E$25*12*(1+'Inputs'!$E$40)^($C16-1))</x:f>
      </x:c>
      <x:c r="F16" s="33" t="str">
        <x:f>IF($C16="","",SUM(D16:E16)*'Inputs'!$E$26)</x:f>
      </x:c>
      <x:c r="G16" s="35" t="str">
        <x:f>IF($C16="","",SUM(D16:E16)-F16)</x:f>
      </x:c>
      <x:c r="H16" s="33" t="str">
        <x:f>IF($C16="","",G16*'Inputs'!$E$27+'Property Model'!$E$27*(1+'Inputs'!$E$41)^($C16-1))</x:f>
      </x:c>
      <x:c r="I16" s="49" t="str">
        <x:f>IF($C16="","",G16-H16)</x:f>
      </x:c>
      <x:c r="J16" s="33" t="str">
        <x:f>IF($C16="","",'Inputs'!$E$35*(1+'Inputs'!$E$41)^($C16-1))</x:f>
      </x:c>
      <x:c r="K16" s="33" t="str">
        <x:f>IF($C16="","",IF('Inputs'!$E$56="On",G16*'Inputs'!$E$62,0)+'Inputs'!$E$36*(1+'Inputs'!$E$41)^($C16-1))</x:f>
      </x:c>
      <x:c r="L16" s="33" t="str">
        <x:f>IF($C16="","",IF(O16&lt;=0,0,'Property Model'!$E$18*MIN(12,MAX(0,('Inputs'!$E$20-$C16+1)*12))))</x:f>
      </x:c>
      <x:c r="M16" s="35" t="str">
        <x:f>IF($C16="","",IF(AND($C16='Inputs'!$E$19,$C16&lt;'Inputs'!$E$45),P16,0))</x:f>
      </x:c>
      <x:c r="N16" s="49" t="str">
        <x:f>IF($C16="","",I16-SUM(J16:M16))</x:f>
      </x:c>
      <x:c r="O16" s="35" t="str">
        <x:f>IF($C16="","",R15)</x:f>
      </x:c>
      <x:c r="P16" s="33" t="str">
        <x:f>IF($C16="","",IF(OR(O16&lt;=0,$C16&gt;='Inputs'!$E$20),0,MAX(0,-FV('Inputs'!$E$18/12,12,-'Property Model'!$E$18,O16))))</x:f>
      </x:c>
      <x:c r="Q16" s="35" t="str">
        <x:f>IF($C16="","",O16-P16)</x:f>
      </x:c>
      <x:c r="R16" s="49" t="str">
        <x:f>IF($C16="","",P16-M16)</x:f>
      </x:c>
      <x:c r="S16" s="33" t="str">
        <x:f>IF($C16="","",IF($C16='Inputs'!$E$45,'Property Model'!$E$43,'Property Model'!$E$16*(1+'Inputs'!$E$42)^$C16))</x:f>
      </x:c>
      <x:c r="T16" s="49" t="str">
        <x:f>IF($C16="","",S16-R16)</x:f>
      </x:c>
      <x:c r="U16" s="35" t="str">
        <x:f>IF($C16="","",L16-Q16)</x:f>
      </x:c>
      <x:c r="V16" s="41" t="str">
        <x:f>IF($C16="","",IF(L16=0,"n.a.",I16/L16))</x:f>
      </x:c>
      <x:c r="W16" s="41" t="str">
        <x:f>IF($C16="","",IF(L16=0,"n.a.",(I16-J16-K16)/L16))</x:f>
      </x:c>
    </x:row>
    <x:row r="17" ht="23" customHeight="1">
      <x:c r="C17" s="62" t="str">
        <x:f>IF(8&lt;='Inputs'!$E$45,8,"")</x:f>
      </x:c>
      <x:c r="D17" s="33" t="str">
        <x:f>IF($C17="","",'Inputs'!$E$24*12*(1+'Inputs'!$E$40)^($C17-1))</x:f>
      </x:c>
      <x:c r="E17" s="33" t="str">
        <x:f>IF($C17="","",'Inputs'!$E$25*12*(1+'Inputs'!$E$40)^($C17-1))</x:f>
      </x:c>
      <x:c r="F17" s="33" t="str">
        <x:f>IF($C17="","",SUM(D17:E17)*'Inputs'!$E$26)</x:f>
      </x:c>
      <x:c r="G17" s="35" t="str">
        <x:f>IF($C17="","",SUM(D17:E17)-F17)</x:f>
      </x:c>
      <x:c r="H17" s="33" t="str">
        <x:f>IF($C17="","",G17*'Inputs'!$E$27+'Property Model'!$E$27*(1+'Inputs'!$E$41)^($C17-1))</x:f>
      </x:c>
      <x:c r="I17" s="49" t="str">
        <x:f>IF($C17="","",G17-H17)</x:f>
      </x:c>
      <x:c r="J17" s="33" t="str">
        <x:f>IF($C17="","",'Inputs'!$E$35*(1+'Inputs'!$E$41)^($C17-1))</x:f>
      </x:c>
      <x:c r="K17" s="33" t="str">
        <x:f>IF($C17="","",IF('Inputs'!$E$56="On",G17*'Inputs'!$E$62,0)+'Inputs'!$E$36*(1+'Inputs'!$E$41)^($C17-1))</x:f>
      </x:c>
      <x:c r="L17" s="33" t="str">
        <x:f>IF($C17="","",IF(O17&lt;=0,0,'Property Model'!$E$18*MIN(12,MAX(0,('Inputs'!$E$20-$C17+1)*12))))</x:f>
      </x:c>
      <x:c r="M17" s="35" t="str">
        <x:f>IF($C17="","",IF(AND($C17='Inputs'!$E$19,$C17&lt;'Inputs'!$E$45),P17,0))</x:f>
      </x:c>
      <x:c r="N17" s="49" t="str">
        <x:f>IF($C17="","",I17-SUM(J17:M17))</x:f>
      </x:c>
      <x:c r="O17" s="35" t="str">
        <x:f>IF($C17="","",R16)</x:f>
      </x:c>
      <x:c r="P17" s="33" t="str">
        <x:f>IF($C17="","",IF(OR(O17&lt;=0,$C17&gt;='Inputs'!$E$20),0,MAX(0,-FV('Inputs'!$E$18/12,12,-'Property Model'!$E$18,O17))))</x:f>
      </x:c>
      <x:c r="Q17" s="35" t="str">
        <x:f>IF($C17="","",O17-P17)</x:f>
      </x:c>
      <x:c r="R17" s="49" t="str">
        <x:f>IF($C17="","",P17-M17)</x:f>
      </x:c>
      <x:c r="S17" s="33" t="str">
        <x:f>IF($C17="","",IF($C17='Inputs'!$E$45,'Property Model'!$E$43,'Property Model'!$E$16*(1+'Inputs'!$E$42)^$C17))</x:f>
      </x:c>
      <x:c r="T17" s="49" t="str">
        <x:f>IF($C17="","",S17-R17)</x:f>
      </x:c>
      <x:c r="U17" s="35" t="str">
        <x:f>IF($C17="","",L17-Q17)</x:f>
      </x:c>
      <x:c r="V17" s="41" t="str">
        <x:f>IF($C17="","",IF(L17=0,"n.a.",I17/L17))</x:f>
      </x:c>
      <x:c r="W17" s="41" t="str">
        <x:f>IF($C17="","",IF(L17=0,"n.a.",(I17-J17-K17)/L17))</x:f>
      </x:c>
    </x:row>
    <x:row r="18" ht="23" customHeight="1">
      <x:c r="C18" s="62" t="str">
        <x:f>IF(9&lt;='Inputs'!$E$45,9,"")</x:f>
      </x:c>
      <x:c r="D18" s="33" t="str">
        <x:f>IF($C18="","",'Inputs'!$E$24*12*(1+'Inputs'!$E$40)^($C18-1))</x:f>
      </x:c>
      <x:c r="E18" s="33" t="str">
        <x:f>IF($C18="","",'Inputs'!$E$25*12*(1+'Inputs'!$E$40)^($C18-1))</x:f>
      </x:c>
      <x:c r="F18" s="33" t="str">
        <x:f>IF($C18="","",SUM(D18:E18)*'Inputs'!$E$26)</x:f>
      </x:c>
      <x:c r="G18" s="35" t="str">
        <x:f>IF($C18="","",SUM(D18:E18)-F18)</x:f>
      </x:c>
      <x:c r="H18" s="33" t="str">
        <x:f>IF($C18="","",G18*'Inputs'!$E$27+'Property Model'!$E$27*(1+'Inputs'!$E$41)^($C18-1))</x:f>
      </x:c>
      <x:c r="I18" s="49" t="str">
        <x:f>IF($C18="","",G18-H18)</x:f>
      </x:c>
      <x:c r="J18" s="33" t="str">
        <x:f>IF($C18="","",'Inputs'!$E$35*(1+'Inputs'!$E$41)^($C18-1))</x:f>
      </x:c>
      <x:c r="K18" s="33" t="str">
        <x:f>IF($C18="","",IF('Inputs'!$E$56="On",G18*'Inputs'!$E$62,0)+'Inputs'!$E$36*(1+'Inputs'!$E$41)^($C18-1))</x:f>
      </x:c>
      <x:c r="L18" s="33" t="str">
        <x:f>IF($C18="","",IF(O18&lt;=0,0,'Property Model'!$E$18*MIN(12,MAX(0,('Inputs'!$E$20-$C18+1)*12))))</x:f>
      </x:c>
      <x:c r="M18" s="35" t="str">
        <x:f>IF($C18="","",IF(AND($C18='Inputs'!$E$19,$C18&lt;'Inputs'!$E$45),P18,0))</x:f>
      </x:c>
      <x:c r="N18" s="49" t="str">
        <x:f>IF($C18="","",I18-SUM(J18:M18))</x:f>
      </x:c>
      <x:c r="O18" s="35" t="str">
        <x:f>IF($C18="","",R17)</x:f>
      </x:c>
      <x:c r="P18" s="33" t="str">
        <x:f>IF($C18="","",IF(OR(O18&lt;=0,$C18&gt;='Inputs'!$E$20),0,MAX(0,-FV('Inputs'!$E$18/12,12,-'Property Model'!$E$18,O18))))</x:f>
      </x:c>
      <x:c r="Q18" s="35" t="str">
        <x:f>IF($C18="","",O18-P18)</x:f>
      </x:c>
      <x:c r="R18" s="49" t="str">
        <x:f>IF($C18="","",P18-M18)</x:f>
      </x:c>
      <x:c r="S18" s="33" t="str">
        <x:f>IF($C18="","",IF($C18='Inputs'!$E$45,'Property Model'!$E$43,'Property Model'!$E$16*(1+'Inputs'!$E$42)^$C18))</x:f>
      </x:c>
      <x:c r="T18" s="49" t="str">
        <x:f>IF($C18="","",S18-R18)</x:f>
      </x:c>
      <x:c r="U18" s="35" t="str">
        <x:f>IF($C18="","",L18-Q18)</x:f>
      </x:c>
      <x:c r="V18" s="41" t="str">
        <x:f>IF($C18="","",IF(L18=0,"n.a.",I18/L18))</x:f>
      </x:c>
      <x:c r="W18" s="41" t="str">
        <x:f>IF($C18="","",IF(L18=0,"n.a.",(I18-J18-K18)/L18))</x:f>
      </x:c>
    </x:row>
    <x:row r="19" ht="23" customHeight="1">
      <x:c r="C19" s="62" t="str">
        <x:f>IF(10&lt;='Inputs'!$E$45,10,"")</x:f>
      </x:c>
      <x:c r="D19" s="33" t="str">
        <x:f>IF($C19="","",'Inputs'!$E$24*12*(1+'Inputs'!$E$40)^($C19-1))</x:f>
      </x:c>
      <x:c r="E19" s="33" t="str">
        <x:f>IF($C19="","",'Inputs'!$E$25*12*(1+'Inputs'!$E$40)^($C19-1))</x:f>
      </x:c>
      <x:c r="F19" s="33" t="str">
        <x:f>IF($C19="","",SUM(D19:E19)*'Inputs'!$E$26)</x:f>
      </x:c>
      <x:c r="G19" s="35" t="str">
        <x:f>IF($C19="","",SUM(D19:E19)-F19)</x:f>
      </x:c>
      <x:c r="H19" s="33" t="str">
        <x:f>IF($C19="","",G19*'Inputs'!$E$27+'Property Model'!$E$27*(1+'Inputs'!$E$41)^($C19-1))</x:f>
      </x:c>
      <x:c r="I19" s="49" t="str">
        <x:f>IF($C19="","",G19-H19)</x:f>
      </x:c>
      <x:c r="J19" s="33" t="str">
        <x:f>IF($C19="","",'Inputs'!$E$35*(1+'Inputs'!$E$41)^($C19-1))</x:f>
      </x:c>
      <x:c r="K19" s="33" t="str">
        <x:f>IF($C19="","",IF('Inputs'!$E$56="On",G19*'Inputs'!$E$62,0)+'Inputs'!$E$36*(1+'Inputs'!$E$41)^($C19-1))</x:f>
      </x:c>
      <x:c r="L19" s="33" t="str">
        <x:f>IF($C19="","",IF(O19&lt;=0,0,'Property Model'!$E$18*MIN(12,MAX(0,('Inputs'!$E$20-$C19+1)*12))))</x:f>
      </x:c>
      <x:c r="M19" s="35" t="str">
        <x:f>IF($C19="","",IF(AND($C19='Inputs'!$E$19,$C19&lt;'Inputs'!$E$45),P19,0))</x:f>
      </x:c>
      <x:c r="N19" s="49" t="str">
        <x:f>IF($C19="","",I19-SUM(J19:M19))</x:f>
      </x:c>
      <x:c r="O19" s="35" t="str">
        <x:f>IF($C19="","",R18)</x:f>
      </x:c>
      <x:c r="P19" s="33" t="str">
        <x:f>IF($C19="","",IF(OR(O19&lt;=0,$C19&gt;='Inputs'!$E$20),0,MAX(0,-FV('Inputs'!$E$18/12,12,-'Property Model'!$E$18,O19))))</x:f>
      </x:c>
      <x:c r="Q19" s="35" t="str">
        <x:f>IF($C19="","",O19-P19)</x:f>
      </x:c>
      <x:c r="R19" s="49" t="str">
        <x:f>IF($C19="","",P19-M19)</x:f>
      </x:c>
      <x:c r="S19" s="33" t="str">
        <x:f>IF($C19="","",IF($C19='Inputs'!$E$45,'Property Model'!$E$43,'Property Model'!$E$16*(1+'Inputs'!$E$42)^$C19))</x:f>
      </x:c>
      <x:c r="T19" s="49" t="str">
        <x:f>IF($C19="","",S19-R19)</x:f>
      </x:c>
      <x:c r="U19" s="35" t="str">
        <x:f>IF($C19="","",L19-Q19)</x:f>
      </x:c>
      <x:c r="V19" s="41" t="str">
        <x:f>IF($C19="","",IF(L19=0,"n.a.",I19/L19))</x:f>
      </x:c>
      <x:c r="W19" s="41" t="str">
        <x:f>IF($C19="","",IF(L19=0,"n.a.",(I19-J19-K19)/L19))</x:f>
      </x:c>
    </x:row>
    <x:row r="20" ht="23" customHeight="1">
      <x:c r="C20" s="62" t="str">
        <x:f>IF(11&lt;='Inputs'!$E$45,11,"")</x:f>
      </x:c>
      <x:c r="D20" s="33" t="str">
        <x:f>IF($C20="","",'Inputs'!$E$24*12*(1+'Inputs'!$E$40)^($C20-1))</x:f>
      </x:c>
      <x:c r="E20" s="33" t="str">
        <x:f>IF($C20="","",'Inputs'!$E$25*12*(1+'Inputs'!$E$40)^($C20-1))</x:f>
      </x:c>
      <x:c r="F20" s="33" t="str">
        <x:f>IF($C20="","",SUM(D20:E20)*'Inputs'!$E$26)</x:f>
      </x:c>
      <x:c r="G20" s="35" t="str">
        <x:f>IF($C20="","",SUM(D20:E20)-F20)</x:f>
      </x:c>
      <x:c r="H20" s="33" t="str">
        <x:f>IF($C20="","",G20*'Inputs'!$E$27+'Property Model'!$E$27*(1+'Inputs'!$E$41)^($C20-1))</x:f>
      </x:c>
      <x:c r="I20" s="49" t="str">
        <x:f>IF($C20="","",G20-H20)</x:f>
      </x:c>
      <x:c r="J20" s="33" t="str">
        <x:f>IF($C20="","",'Inputs'!$E$35*(1+'Inputs'!$E$41)^($C20-1))</x:f>
      </x:c>
      <x:c r="K20" s="33" t="str">
        <x:f>IF($C20="","",IF('Inputs'!$E$56="On",G20*'Inputs'!$E$62,0)+'Inputs'!$E$36*(1+'Inputs'!$E$41)^($C20-1))</x:f>
      </x:c>
      <x:c r="L20" s="33" t="str">
        <x:f>IF($C20="","",IF(O20&lt;=0,0,'Property Model'!$E$18*MIN(12,MAX(0,('Inputs'!$E$20-$C20+1)*12))))</x:f>
      </x:c>
      <x:c r="M20" s="35" t="str">
        <x:f>IF($C20="","",IF(AND($C20='Inputs'!$E$19,$C20&lt;'Inputs'!$E$45),P20,0))</x:f>
      </x:c>
      <x:c r="N20" s="49" t="str">
        <x:f>IF($C20="","",I20-SUM(J20:M20))</x:f>
      </x:c>
      <x:c r="O20" s="35" t="str">
        <x:f>IF($C20="","",R19)</x:f>
      </x:c>
      <x:c r="P20" s="33" t="str">
        <x:f>IF($C20="","",IF(OR(O20&lt;=0,$C20&gt;='Inputs'!$E$20),0,MAX(0,-FV('Inputs'!$E$18/12,12,-'Property Model'!$E$18,O20))))</x:f>
      </x:c>
      <x:c r="Q20" s="35" t="str">
        <x:f>IF($C20="","",O20-P20)</x:f>
      </x:c>
      <x:c r="R20" s="49" t="str">
        <x:f>IF($C20="","",P20-M20)</x:f>
      </x:c>
      <x:c r="S20" s="33" t="str">
        <x:f>IF($C20="","",IF($C20='Inputs'!$E$45,'Property Model'!$E$43,'Property Model'!$E$16*(1+'Inputs'!$E$42)^$C20))</x:f>
      </x:c>
      <x:c r="T20" s="49" t="str">
        <x:f>IF($C20="","",S20-R20)</x:f>
      </x:c>
      <x:c r="U20" s="35" t="str">
        <x:f>IF($C20="","",L20-Q20)</x:f>
      </x:c>
      <x:c r="V20" s="41" t="str">
        <x:f>IF($C20="","",IF(L20=0,"n.a.",I20/L20))</x:f>
      </x:c>
      <x:c r="W20" s="41" t="str">
        <x:f>IF($C20="","",IF(L20=0,"n.a.",(I20-J20-K20)/L20))</x:f>
      </x:c>
    </x:row>
    <x:row r="21" ht="23" customHeight="1">
      <x:c r="C21" s="62" t="str">
        <x:f>IF(12&lt;='Inputs'!$E$45,12,"")</x:f>
      </x:c>
      <x:c r="D21" s="33" t="str">
        <x:f>IF($C21="","",'Inputs'!$E$24*12*(1+'Inputs'!$E$40)^($C21-1))</x:f>
      </x:c>
      <x:c r="E21" s="33" t="str">
        <x:f>IF($C21="","",'Inputs'!$E$25*12*(1+'Inputs'!$E$40)^($C21-1))</x:f>
      </x:c>
      <x:c r="F21" s="33" t="str">
        <x:f>IF($C21="","",SUM(D21:E21)*'Inputs'!$E$26)</x:f>
      </x:c>
      <x:c r="G21" s="35" t="str">
        <x:f>IF($C21="","",SUM(D21:E21)-F21)</x:f>
      </x:c>
      <x:c r="H21" s="33" t="str">
        <x:f>IF($C21="","",G21*'Inputs'!$E$27+'Property Model'!$E$27*(1+'Inputs'!$E$41)^($C21-1))</x:f>
      </x:c>
      <x:c r="I21" s="49" t="str">
        <x:f>IF($C21="","",G21-H21)</x:f>
      </x:c>
      <x:c r="J21" s="33" t="str">
        <x:f>IF($C21="","",'Inputs'!$E$35*(1+'Inputs'!$E$41)^($C21-1))</x:f>
      </x:c>
      <x:c r="K21" s="33" t="str">
        <x:f>IF($C21="","",IF('Inputs'!$E$56="On",G21*'Inputs'!$E$62,0)+'Inputs'!$E$36*(1+'Inputs'!$E$41)^($C21-1))</x:f>
      </x:c>
      <x:c r="L21" s="33" t="str">
        <x:f>IF($C21="","",IF(O21&lt;=0,0,'Property Model'!$E$18*MIN(12,MAX(0,('Inputs'!$E$20-$C21+1)*12))))</x:f>
      </x:c>
      <x:c r="M21" s="35" t="str">
        <x:f>IF($C21="","",IF(AND($C21='Inputs'!$E$19,$C21&lt;'Inputs'!$E$45),P21,0))</x:f>
      </x:c>
      <x:c r="N21" s="49" t="str">
        <x:f>IF($C21="","",I21-SUM(J21:M21))</x:f>
      </x:c>
      <x:c r="O21" s="35" t="str">
        <x:f>IF($C21="","",R20)</x:f>
      </x:c>
      <x:c r="P21" s="33" t="str">
        <x:f>IF($C21="","",IF(OR(O21&lt;=0,$C21&gt;='Inputs'!$E$20),0,MAX(0,-FV('Inputs'!$E$18/12,12,-'Property Model'!$E$18,O21))))</x:f>
      </x:c>
      <x:c r="Q21" s="35" t="str">
        <x:f>IF($C21="","",O21-P21)</x:f>
      </x:c>
      <x:c r="R21" s="49" t="str">
        <x:f>IF($C21="","",P21-M21)</x:f>
      </x:c>
      <x:c r="S21" s="33" t="str">
        <x:f>IF($C21="","",IF($C21='Inputs'!$E$45,'Property Model'!$E$43,'Property Model'!$E$16*(1+'Inputs'!$E$42)^$C21))</x:f>
      </x:c>
      <x:c r="T21" s="49" t="str">
        <x:f>IF($C21="","",S21-R21)</x:f>
      </x:c>
      <x:c r="U21" s="35" t="str">
        <x:f>IF($C21="","",L21-Q21)</x:f>
      </x:c>
      <x:c r="V21" s="41" t="str">
        <x:f>IF($C21="","",IF(L21=0,"n.a.",I21/L21))</x:f>
      </x:c>
      <x:c r="W21" s="41" t="str">
        <x:f>IF($C21="","",IF(L21=0,"n.a.",(I21-J21-K21)/L21))</x:f>
      </x:c>
    </x:row>
    <x:row r="22" ht="23" customHeight="1">
      <x:c r="C22" s="62" t="str">
        <x:f>IF(13&lt;='Inputs'!$E$45,13,"")</x:f>
      </x:c>
      <x:c r="D22" s="33" t="str">
        <x:f>IF($C22="","",'Inputs'!$E$24*12*(1+'Inputs'!$E$40)^($C22-1))</x:f>
      </x:c>
      <x:c r="E22" s="33" t="str">
        <x:f>IF($C22="","",'Inputs'!$E$25*12*(1+'Inputs'!$E$40)^($C22-1))</x:f>
      </x:c>
      <x:c r="F22" s="33" t="str">
        <x:f>IF($C22="","",SUM(D22:E22)*'Inputs'!$E$26)</x:f>
      </x:c>
      <x:c r="G22" s="35" t="str">
        <x:f>IF($C22="","",SUM(D22:E22)-F22)</x:f>
      </x:c>
      <x:c r="H22" s="33" t="str">
        <x:f>IF($C22="","",G22*'Inputs'!$E$27+'Property Model'!$E$27*(1+'Inputs'!$E$41)^($C22-1))</x:f>
      </x:c>
      <x:c r="I22" s="49" t="str">
        <x:f>IF($C22="","",G22-H22)</x:f>
      </x:c>
      <x:c r="J22" s="33" t="str">
        <x:f>IF($C22="","",'Inputs'!$E$35*(1+'Inputs'!$E$41)^($C22-1))</x:f>
      </x:c>
      <x:c r="K22" s="33" t="str">
        <x:f>IF($C22="","",IF('Inputs'!$E$56="On",G22*'Inputs'!$E$62,0)+'Inputs'!$E$36*(1+'Inputs'!$E$41)^($C22-1))</x:f>
      </x:c>
      <x:c r="L22" s="33" t="str">
        <x:f>IF($C22="","",IF(O22&lt;=0,0,'Property Model'!$E$18*MIN(12,MAX(0,('Inputs'!$E$20-$C22+1)*12))))</x:f>
      </x:c>
      <x:c r="M22" s="35" t="str">
        <x:f>IF($C22="","",IF(AND($C22='Inputs'!$E$19,$C22&lt;'Inputs'!$E$45),P22,0))</x:f>
      </x:c>
      <x:c r="N22" s="49" t="str">
        <x:f>IF($C22="","",I22-SUM(J22:M22))</x:f>
      </x:c>
      <x:c r="O22" s="35" t="str">
        <x:f>IF($C22="","",R21)</x:f>
      </x:c>
      <x:c r="P22" s="33" t="str">
        <x:f>IF($C22="","",IF(OR(O22&lt;=0,$C22&gt;='Inputs'!$E$20),0,MAX(0,-FV('Inputs'!$E$18/12,12,-'Property Model'!$E$18,O22))))</x:f>
      </x:c>
      <x:c r="Q22" s="35" t="str">
        <x:f>IF($C22="","",O22-P22)</x:f>
      </x:c>
      <x:c r="R22" s="49" t="str">
        <x:f>IF($C22="","",P22-M22)</x:f>
      </x:c>
      <x:c r="S22" s="33" t="str">
        <x:f>IF($C22="","",IF($C22='Inputs'!$E$45,'Property Model'!$E$43,'Property Model'!$E$16*(1+'Inputs'!$E$42)^$C22))</x:f>
      </x:c>
      <x:c r="T22" s="49" t="str">
        <x:f>IF($C22="","",S22-R22)</x:f>
      </x:c>
      <x:c r="U22" s="35" t="str">
        <x:f>IF($C22="","",L22-Q22)</x:f>
      </x:c>
      <x:c r="V22" s="41" t="str">
        <x:f>IF($C22="","",IF(L22=0,"n.a.",I22/L22))</x:f>
      </x:c>
      <x:c r="W22" s="41" t="str">
        <x:f>IF($C22="","",IF(L22=0,"n.a.",(I22-J22-K22)/L22))</x:f>
      </x:c>
    </x:row>
    <x:row r="23" ht="23" customHeight="1">
      <x:c r="C23" s="62" t="str">
        <x:f>IF(14&lt;='Inputs'!$E$45,14,"")</x:f>
      </x:c>
      <x:c r="D23" s="33" t="str">
        <x:f>IF($C23="","",'Inputs'!$E$24*12*(1+'Inputs'!$E$40)^($C23-1))</x:f>
      </x:c>
      <x:c r="E23" s="33" t="str">
        <x:f>IF($C23="","",'Inputs'!$E$25*12*(1+'Inputs'!$E$40)^($C23-1))</x:f>
      </x:c>
      <x:c r="F23" s="33" t="str">
        <x:f>IF($C23="","",SUM(D23:E23)*'Inputs'!$E$26)</x:f>
      </x:c>
      <x:c r="G23" s="35" t="str">
        <x:f>IF($C23="","",SUM(D23:E23)-F23)</x:f>
      </x:c>
      <x:c r="H23" s="33" t="str">
        <x:f>IF($C23="","",G23*'Inputs'!$E$27+'Property Model'!$E$27*(1+'Inputs'!$E$41)^($C23-1))</x:f>
      </x:c>
      <x:c r="I23" s="49" t="str">
        <x:f>IF($C23="","",G23-H23)</x:f>
      </x:c>
      <x:c r="J23" s="33" t="str">
        <x:f>IF($C23="","",'Inputs'!$E$35*(1+'Inputs'!$E$41)^($C23-1))</x:f>
      </x:c>
      <x:c r="K23" s="33" t="str">
        <x:f>IF($C23="","",IF('Inputs'!$E$56="On",G23*'Inputs'!$E$62,0)+'Inputs'!$E$36*(1+'Inputs'!$E$41)^($C23-1))</x:f>
      </x:c>
      <x:c r="L23" s="33" t="str">
        <x:f>IF($C23="","",IF(O23&lt;=0,0,'Property Model'!$E$18*MIN(12,MAX(0,('Inputs'!$E$20-$C23+1)*12))))</x:f>
      </x:c>
      <x:c r="M23" s="35" t="str">
        <x:f>IF($C23="","",IF(AND($C23='Inputs'!$E$19,$C23&lt;'Inputs'!$E$45),P23,0))</x:f>
      </x:c>
      <x:c r="N23" s="49" t="str">
        <x:f>IF($C23="","",I23-SUM(J23:M23))</x:f>
      </x:c>
      <x:c r="O23" s="35" t="str">
        <x:f>IF($C23="","",R22)</x:f>
      </x:c>
      <x:c r="P23" s="33" t="str">
        <x:f>IF($C23="","",IF(OR(O23&lt;=0,$C23&gt;='Inputs'!$E$20),0,MAX(0,-FV('Inputs'!$E$18/12,12,-'Property Model'!$E$18,O23))))</x:f>
      </x:c>
      <x:c r="Q23" s="35" t="str">
        <x:f>IF($C23="","",O23-P23)</x:f>
      </x:c>
      <x:c r="R23" s="49" t="str">
        <x:f>IF($C23="","",P23-M23)</x:f>
      </x:c>
      <x:c r="S23" s="33" t="str">
        <x:f>IF($C23="","",IF($C23='Inputs'!$E$45,'Property Model'!$E$43,'Property Model'!$E$16*(1+'Inputs'!$E$42)^$C23))</x:f>
      </x:c>
      <x:c r="T23" s="49" t="str">
        <x:f>IF($C23="","",S23-R23)</x:f>
      </x:c>
      <x:c r="U23" s="35" t="str">
        <x:f>IF($C23="","",L23-Q23)</x:f>
      </x:c>
      <x:c r="V23" s="41" t="str">
        <x:f>IF($C23="","",IF(L23=0,"n.a.",I23/L23))</x:f>
      </x:c>
      <x:c r="W23" s="41" t="str">
        <x:f>IF($C23="","",IF(L23=0,"n.a.",(I23-J23-K23)/L23))</x:f>
      </x:c>
    </x:row>
    <x:row r="24" ht="23" customHeight="1">
      <x:c r="C24" s="62" t="str">
        <x:f>IF(15&lt;='Inputs'!$E$45,15,"")</x:f>
      </x:c>
      <x:c r="D24" s="33" t="str">
        <x:f>IF($C24="","",'Inputs'!$E$24*12*(1+'Inputs'!$E$40)^($C24-1))</x:f>
      </x:c>
      <x:c r="E24" s="33" t="str">
        <x:f>IF($C24="","",'Inputs'!$E$25*12*(1+'Inputs'!$E$40)^($C24-1))</x:f>
      </x:c>
      <x:c r="F24" s="33" t="str">
        <x:f>IF($C24="","",SUM(D24:E24)*'Inputs'!$E$26)</x:f>
      </x:c>
      <x:c r="G24" s="35" t="str">
        <x:f>IF($C24="","",SUM(D24:E24)-F24)</x:f>
      </x:c>
      <x:c r="H24" s="33" t="str">
        <x:f>IF($C24="","",G24*'Inputs'!$E$27+'Property Model'!$E$27*(1+'Inputs'!$E$41)^($C24-1))</x:f>
      </x:c>
      <x:c r="I24" s="49" t="str">
        <x:f>IF($C24="","",G24-H24)</x:f>
      </x:c>
      <x:c r="J24" s="33" t="str">
        <x:f>IF($C24="","",'Inputs'!$E$35*(1+'Inputs'!$E$41)^($C24-1))</x:f>
      </x:c>
      <x:c r="K24" s="33" t="str">
        <x:f>IF($C24="","",IF('Inputs'!$E$56="On",G24*'Inputs'!$E$62,0)+'Inputs'!$E$36*(1+'Inputs'!$E$41)^($C24-1))</x:f>
      </x:c>
      <x:c r="L24" s="33" t="str">
        <x:f>IF($C24="","",IF(O24&lt;=0,0,'Property Model'!$E$18*MIN(12,MAX(0,('Inputs'!$E$20-$C24+1)*12))))</x:f>
      </x:c>
      <x:c r="M24" s="35" t="str">
        <x:f>IF($C24="","",IF(AND($C24='Inputs'!$E$19,$C24&lt;'Inputs'!$E$45),P24,0))</x:f>
      </x:c>
      <x:c r="N24" s="49" t="str">
        <x:f>IF($C24="","",I24-SUM(J24:M24))</x:f>
      </x:c>
      <x:c r="O24" s="35" t="str">
        <x:f>IF($C24="","",R23)</x:f>
      </x:c>
      <x:c r="P24" s="33" t="str">
        <x:f>IF($C24="","",IF(OR(O24&lt;=0,$C24&gt;='Inputs'!$E$20),0,MAX(0,-FV('Inputs'!$E$18/12,12,-'Property Model'!$E$18,O24))))</x:f>
      </x:c>
      <x:c r="Q24" s="35" t="str">
        <x:f>IF($C24="","",O24-P24)</x:f>
      </x:c>
      <x:c r="R24" s="49" t="str">
        <x:f>IF($C24="","",P24-M24)</x:f>
      </x:c>
      <x:c r="S24" s="33" t="str">
        <x:f>IF($C24="","",IF($C24='Inputs'!$E$45,'Property Model'!$E$43,'Property Model'!$E$16*(1+'Inputs'!$E$42)^$C24))</x:f>
      </x:c>
      <x:c r="T24" s="49" t="str">
        <x:f>IF($C24="","",S24-R24)</x:f>
      </x:c>
      <x:c r="U24" s="35" t="str">
        <x:f>IF($C24="","",L24-Q24)</x:f>
      </x:c>
      <x:c r="V24" s="41" t="str">
        <x:f>IF($C24="","",IF(L24=0,"n.a.",I24/L24))</x:f>
      </x:c>
      <x:c r="W24" s="41" t="str">
        <x:f>IF($C24="","",IF(L24=0,"n.a.",(I24-J24-K24)/L24))</x:f>
      </x:c>
    </x:row>
    <x:row r="25" ht="23" customHeight="1">
      <x:c r="C25" s="62" t="str">
        <x:f>IF(16&lt;='Inputs'!$E$45,16,"")</x:f>
      </x:c>
      <x:c r="D25" s="33" t="str">
        <x:f>IF($C25="","",'Inputs'!$E$24*12*(1+'Inputs'!$E$40)^($C25-1))</x:f>
      </x:c>
      <x:c r="E25" s="33" t="str">
        <x:f>IF($C25="","",'Inputs'!$E$25*12*(1+'Inputs'!$E$40)^($C25-1))</x:f>
      </x:c>
      <x:c r="F25" s="33" t="str">
        <x:f>IF($C25="","",SUM(D25:E25)*'Inputs'!$E$26)</x:f>
      </x:c>
      <x:c r="G25" s="35" t="str">
        <x:f>IF($C25="","",SUM(D25:E25)-F25)</x:f>
      </x:c>
      <x:c r="H25" s="33" t="str">
        <x:f>IF($C25="","",G25*'Inputs'!$E$27+'Property Model'!$E$27*(1+'Inputs'!$E$41)^($C25-1))</x:f>
      </x:c>
      <x:c r="I25" s="49" t="str">
        <x:f>IF($C25="","",G25-H25)</x:f>
      </x:c>
      <x:c r="J25" s="33" t="str">
        <x:f>IF($C25="","",'Inputs'!$E$35*(1+'Inputs'!$E$41)^($C25-1))</x:f>
      </x:c>
      <x:c r="K25" s="33" t="str">
        <x:f>IF($C25="","",IF('Inputs'!$E$56="On",G25*'Inputs'!$E$62,0)+'Inputs'!$E$36*(1+'Inputs'!$E$41)^($C25-1))</x:f>
      </x:c>
      <x:c r="L25" s="33" t="str">
        <x:f>IF($C25="","",IF(O25&lt;=0,0,'Property Model'!$E$18*MIN(12,MAX(0,('Inputs'!$E$20-$C25+1)*12))))</x:f>
      </x:c>
      <x:c r="M25" s="35" t="str">
        <x:f>IF($C25="","",IF(AND($C25='Inputs'!$E$19,$C25&lt;'Inputs'!$E$45),P25,0))</x:f>
      </x:c>
      <x:c r="N25" s="49" t="str">
        <x:f>IF($C25="","",I25-SUM(J25:M25))</x:f>
      </x:c>
      <x:c r="O25" s="35" t="str">
        <x:f>IF($C25="","",R24)</x:f>
      </x:c>
      <x:c r="P25" s="33" t="str">
        <x:f>IF($C25="","",IF(OR(O25&lt;=0,$C25&gt;='Inputs'!$E$20),0,MAX(0,-FV('Inputs'!$E$18/12,12,-'Property Model'!$E$18,O25))))</x:f>
      </x:c>
      <x:c r="Q25" s="35" t="str">
        <x:f>IF($C25="","",O25-P25)</x:f>
      </x:c>
      <x:c r="R25" s="49" t="str">
        <x:f>IF($C25="","",P25-M25)</x:f>
      </x:c>
      <x:c r="S25" s="33" t="str">
        <x:f>IF($C25="","",IF($C25='Inputs'!$E$45,'Property Model'!$E$43,'Property Model'!$E$16*(1+'Inputs'!$E$42)^$C25))</x:f>
      </x:c>
      <x:c r="T25" s="49" t="str">
        <x:f>IF($C25="","",S25-R25)</x:f>
      </x:c>
      <x:c r="U25" s="35" t="str">
        <x:f>IF($C25="","",L25-Q25)</x:f>
      </x:c>
      <x:c r="V25" s="41" t="str">
        <x:f>IF($C25="","",IF(L25=0,"n.a.",I25/L25))</x:f>
      </x:c>
      <x:c r="W25" s="41" t="str">
        <x:f>IF($C25="","",IF(L25=0,"n.a.",(I25-J25-K25)/L25))</x:f>
      </x:c>
    </x:row>
    <x:row r="26" ht="23" customHeight="1">
      <x:c r="C26" s="62" t="str">
        <x:f>IF(17&lt;='Inputs'!$E$45,17,"")</x:f>
      </x:c>
      <x:c r="D26" s="33" t="str">
        <x:f>IF($C26="","",'Inputs'!$E$24*12*(1+'Inputs'!$E$40)^($C26-1))</x:f>
      </x:c>
      <x:c r="E26" s="33" t="str">
        <x:f>IF($C26="","",'Inputs'!$E$25*12*(1+'Inputs'!$E$40)^($C26-1))</x:f>
      </x:c>
      <x:c r="F26" s="33" t="str">
        <x:f>IF($C26="","",SUM(D26:E26)*'Inputs'!$E$26)</x:f>
      </x:c>
      <x:c r="G26" s="35" t="str">
        <x:f>IF($C26="","",SUM(D26:E26)-F26)</x:f>
      </x:c>
      <x:c r="H26" s="33" t="str">
        <x:f>IF($C26="","",G26*'Inputs'!$E$27+'Property Model'!$E$27*(1+'Inputs'!$E$41)^($C26-1))</x:f>
      </x:c>
      <x:c r="I26" s="49" t="str">
        <x:f>IF($C26="","",G26-H26)</x:f>
      </x:c>
      <x:c r="J26" s="33" t="str">
        <x:f>IF($C26="","",'Inputs'!$E$35*(1+'Inputs'!$E$41)^($C26-1))</x:f>
      </x:c>
      <x:c r="K26" s="33" t="str">
        <x:f>IF($C26="","",IF('Inputs'!$E$56="On",G26*'Inputs'!$E$62,0)+'Inputs'!$E$36*(1+'Inputs'!$E$41)^($C26-1))</x:f>
      </x:c>
      <x:c r="L26" s="33" t="str">
        <x:f>IF($C26="","",IF(O26&lt;=0,0,'Property Model'!$E$18*MIN(12,MAX(0,('Inputs'!$E$20-$C26+1)*12))))</x:f>
      </x:c>
      <x:c r="M26" s="35" t="str">
        <x:f>IF($C26="","",IF(AND($C26='Inputs'!$E$19,$C26&lt;'Inputs'!$E$45),P26,0))</x:f>
      </x:c>
      <x:c r="N26" s="49" t="str">
        <x:f>IF($C26="","",I26-SUM(J26:M26))</x:f>
      </x:c>
      <x:c r="O26" s="35" t="str">
        <x:f>IF($C26="","",R25)</x:f>
      </x:c>
      <x:c r="P26" s="33" t="str">
        <x:f>IF($C26="","",IF(OR(O26&lt;=0,$C26&gt;='Inputs'!$E$20),0,MAX(0,-FV('Inputs'!$E$18/12,12,-'Property Model'!$E$18,O26))))</x:f>
      </x:c>
      <x:c r="Q26" s="35" t="str">
        <x:f>IF($C26="","",O26-P26)</x:f>
      </x:c>
      <x:c r="R26" s="49" t="str">
        <x:f>IF($C26="","",P26-M26)</x:f>
      </x:c>
      <x:c r="S26" s="33" t="str">
        <x:f>IF($C26="","",IF($C26='Inputs'!$E$45,'Property Model'!$E$43,'Property Model'!$E$16*(1+'Inputs'!$E$42)^$C26))</x:f>
      </x:c>
      <x:c r="T26" s="49" t="str">
        <x:f>IF($C26="","",S26-R26)</x:f>
      </x:c>
      <x:c r="U26" s="35" t="str">
        <x:f>IF($C26="","",L26-Q26)</x:f>
      </x:c>
      <x:c r="V26" s="41" t="str">
        <x:f>IF($C26="","",IF(L26=0,"n.a.",I26/L26))</x:f>
      </x:c>
      <x:c r="W26" s="41" t="str">
        <x:f>IF($C26="","",IF(L26=0,"n.a.",(I26-J26-K26)/L26))</x:f>
      </x:c>
    </x:row>
    <x:row r="27" ht="23" customHeight="1">
      <x:c r="C27" s="62" t="str">
        <x:f>IF(18&lt;='Inputs'!$E$45,18,"")</x:f>
      </x:c>
      <x:c r="D27" s="33" t="str">
        <x:f>IF($C27="","",'Inputs'!$E$24*12*(1+'Inputs'!$E$40)^($C27-1))</x:f>
      </x:c>
      <x:c r="E27" s="33" t="str">
        <x:f>IF($C27="","",'Inputs'!$E$25*12*(1+'Inputs'!$E$40)^($C27-1))</x:f>
      </x:c>
      <x:c r="F27" s="33" t="str">
        <x:f>IF($C27="","",SUM(D27:E27)*'Inputs'!$E$26)</x:f>
      </x:c>
      <x:c r="G27" s="35" t="str">
        <x:f>IF($C27="","",SUM(D27:E27)-F27)</x:f>
      </x:c>
      <x:c r="H27" s="33" t="str">
        <x:f>IF($C27="","",G27*'Inputs'!$E$27+'Property Model'!$E$27*(1+'Inputs'!$E$41)^($C27-1))</x:f>
      </x:c>
      <x:c r="I27" s="49" t="str">
        <x:f>IF($C27="","",G27-H27)</x:f>
      </x:c>
      <x:c r="J27" s="33" t="str">
        <x:f>IF($C27="","",'Inputs'!$E$35*(1+'Inputs'!$E$41)^($C27-1))</x:f>
      </x:c>
      <x:c r="K27" s="33" t="str">
        <x:f>IF($C27="","",IF('Inputs'!$E$56="On",G27*'Inputs'!$E$62,0)+'Inputs'!$E$36*(1+'Inputs'!$E$41)^($C27-1))</x:f>
      </x:c>
      <x:c r="L27" s="33" t="str">
        <x:f>IF($C27="","",IF(O27&lt;=0,0,'Property Model'!$E$18*MIN(12,MAX(0,('Inputs'!$E$20-$C27+1)*12))))</x:f>
      </x:c>
      <x:c r="M27" s="35" t="str">
        <x:f>IF($C27="","",IF(AND($C27='Inputs'!$E$19,$C27&lt;'Inputs'!$E$45),P27,0))</x:f>
      </x:c>
      <x:c r="N27" s="49" t="str">
        <x:f>IF($C27="","",I27-SUM(J27:M27))</x:f>
      </x:c>
      <x:c r="O27" s="35" t="str">
        <x:f>IF($C27="","",R26)</x:f>
      </x:c>
      <x:c r="P27" s="33" t="str">
        <x:f>IF($C27="","",IF(OR(O27&lt;=0,$C27&gt;='Inputs'!$E$20),0,MAX(0,-FV('Inputs'!$E$18/12,12,-'Property Model'!$E$18,O27))))</x:f>
      </x:c>
      <x:c r="Q27" s="35" t="str">
        <x:f>IF($C27="","",O27-P27)</x:f>
      </x:c>
      <x:c r="R27" s="49" t="str">
        <x:f>IF($C27="","",P27-M27)</x:f>
      </x:c>
      <x:c r="S27" s="33" t="str">
        <x:f>IF($C27="","",IF($C27='Inputs'!$E$45,'Property Model'!$E$43,'Property Model'!$E$16*(1+'Inputs'!$E$42)^$C27))</x:f>
      </x:c>
      <x:c r="T27" s="49" t="str">
        <x:f>IF($C27="","",S27-R27)</x:f>
      </x:c>
      <x:c r="U27" s="35" t="str">
        <x:f>IF($C27="","",L27-Q27)</x:f>
      </x:c>
      <x:c r="V27" s="41" t="str">
        <x:f>IF($C27="","",IF(L27=0,"n.a.",I27/L27))</x:f>
      </x:c>
      <x:c r="W27" s="41" t="str">
        <x:f>IF($C27="","",IF(L27=0,"n.a.",(I27-J27-K27)/L27))</x:f>
      </x:c>
    </x:row>
    <x:row r="28" ht="23" customHeight="1">
      <x:c r="C28" s="62" t="str">
        <x:f>IF(19&lt;='Inputs'!$E$45,19,"")</x:f>
      </x:c>
      <x:c r="D28" s="33" t="str">
        <x:f>IF($C28="","",'Inputs'!$E$24*12*(1+'Inputs'!$E$40)^($C28-1))</x:f>
      </x:c>
      <x:c r="E28" s="33" t="str">
        <x:f>IF($C28="","",'Inputs'!$E$25*12*(1+'Inputs'!$E$40)^($C28-1))</x:f>
      </x:c>
      <x:c r="F28" s="33" t="str">
        <x:f>IF($C28="","",SUM(D28:E28)*'Inputs'!$E$26)</x:f>
      </x:c>
      <x:c r="G28" s="35" t="str">
        <x:f>IF($C28="","",SUM(D28:E28)-F28)</x:f>
      </x:c>
      <x:c r="H28" s="33" t="str">
        <x:f>IF($C28="","",G28*'Inputs'!$E$27+'Property Model'!$E$27*(1+'Inputs'!$E$41)^($C28-1))</x:f>
      </x:c>
      <x:c r="I28" s="49" t="str">
        <x:f>IF($C28="","",G28-H28)</x:f>
      </x:c>
      <x:c r="J28" s="33" t="str">
        <x:f>IF($C28="","",'Inputs'!$E$35*(1+'Inputs'!$E$41)^($C28-1))</x:f>
      </x:c>
      <x:c r="K28" s="33" t="str">
        <x:f>IF($C28="","",IF('Inputs'!$E$56="On",G28*'Inputs'!$E$62,0)+'Inputs'!$E$36*(1+'Inputs'!$E$41)^($C28-1))</x:f>
      </x:c>
      <x:c r="L28" s="33" t="str">
        <x:f>IF($C28="","",IF(O28&lt;=0,0,'Property Model'!$E$18*MIN(12,MAX(0,('Inputs'!$E$20-$C28+1)*12))))</x:f>
      </x:c>
      <x:c r="M28" s="35" t="str">
        <x:f>IF($C28="","",IF(AND($C28='Inputs'!$E$19,$C28&lt;'Inputs'!$E$45),P28,0))</x:f>
      </x:c>
      <x:c r="N28" s="49" t="str">
        <x:f>IF($C28="","",I28-SUM(J28:M28))</x:f>
      </x:c>
      <x:c r="O28" s="35" t="str">
        <x:f>IF($C28="","",R27)</x:f>
      </x:c>
      <x:c r="P28" s="33" t="str">
        <x:f>IF($C28="","",IF(OR(O28&lt;=0,$C28&gt;='Inputs'!$E$20),0,MAX(0,-FV('Inputs'!$E$18/12,12,-'Property Model'!$E$18,O28))))</x:f>
      </x:c>
      <x:c r="Q28" s="35" t="str">
        <x:f>IF($C28="","",O28-P28)</x:f>
      </x:c>
      <x:c r="R28" s="49" t="str">
        <x:f>IF($C28="","",P28-M28)</x:f>
      </x:c>
      <x:c r="S28" s="33" t="str">
        <x:f>IF($C28="","",IF($C28='Inputs'!$E$45,'Property Model'!$E$43,'Property Model'!$E$16*(1+'Inputs'!$E$42)^$C28))</x:f>
      </x:c>
      <x:c r="T28" s="49" t="str">
        <x:f>IF($C28="","",S28-R28)</x:f>
      </x:c>
      <x:c r="U28" s="35" t="str">
        <x:f>IF($C28="","",L28-Q28)</x:f>
      </x:c>
      <x:c r="V28" s="41" t="str">
        <x:f>IF($C28="","",IF(L28=0,"n.a.",I28/L28))</x:f>
      </x:c>
      <x:c r="W28" s="41" t="str">
        <x:f>IF($C28="","",IF(L28=0,"n.a.",(I28-J28-K28)/L28))</x:f>
      </x:c>
    </x:row>
    <x:row r="29" ht="23" customHeight="1">
      <x:c r="C29" s="62" t="str">
        <x:f>IF(20&lt;='Inputs'!$E$45,20,"")</x:f>
      </x:c>
      <x:c r="D29" s="33" t="str">
        <x:f>IF($C29="","",'Inputs'!$E$24*12*(1+'Inputs'!$E$40)^($C29-1))</x:f>
      </x:c>
      <x:c r="E29" s="33" t="str">
        <x:f>IF($C29="","",'Inputs'!$E$25*12*(1+'Inputs'!$E$40)^($C29-1))</x:f>
      </x:c>
      <x:c r="F29" s="33" t="str">
        <x:f>IF($C29="","",SUM(D29:E29)*'Inputs'!$E$26)</x:f>
      </x:c>
      <x:c r="G29" s="35" t="str">
        <x:f>IF($C29="","",SUM(D29:E29)-F29)</x:f>
      </x:c>
      <x:c r="H29" s="33" t="str">
        <x:f>IF($C29="","",G29*'Inputs'!$E$27+'Property Model'!$E$27*(1+'Inputs'!$E$41)^($C29-1))</x:f>
      </x:c>
      <x:c r="I29" s="49" t="str">
        <x:f>IF($C29="","",G29-H29)</x:f>
      </x:c>
      <x:c r="J29" s="33" t="str">
        <x:f>IF($C29="","",'Inputs'!$E$35*(1+'Inputs'!$E$41)^($C29-1))</x:f>
      </x:c>
      <x:c r="K29" s="33" t="str">
        <x:f>IF($C29="","",IF('Inputs'!$E$56="On",G29*'Inputs'!$E$62,0)+'Inputs'!$E$36*(1+'Inputs'!$E$41)^($C29-1))</x:f>
      </x:c>
      <x:c r="L29" s="33" t="str">
        <x:f>IF($C29="","",IF(O29&lt;=0,0,'Property Model'!$E$18*MIN(12,MAX(0,('Inputs'!$E$20-$C29+1)*12))))</x:f>
      </x:c>
      <x:c r="M29" s="35" t="str">
        <x:f>IF($C29="","",IF(AND($C29='Inputs'!$E$19,$C29&lt;'Inputs'!$E$45),P29,0))</x:f>
      </x:c>
      <x:c r="N29" s="49" t="str">
        <x:f>IF($C29="","",I29-SUM(J29:M29))</x:f>
      </x:c>
      <x:c r="O29" s="35" t="str">
        <x:f>IF($C29="","",R28)</x:f>
      </x:c>
      <x:c r="P29" s="33" t="str">
        <x:f>IF($C29="","",IF(OR(O29&lt;=0,$C29&gt;='Inputs'!$E$20),0,MAX(0,-FV('Inputs'!$E$18/12,12,-'Property Model'!$E$18,O29))))</x:f>
      </x:c>
      <x:c r="Q29" s="35" t="str">
        <x:f>IF($C29="","",O29-P29)</x:f>
      </x:c>
      <x:c r="R29" s="49" t="str">
        <x:f>IF($C29="","",P29-M29)</x:f>
      </x:c>
      <x:c r="S29" s="33" t="str">
        <x:f>IF($C29="","",IF($C29='Inputs'!$E$45,'Property Model'!$E$43,'Property Model'!$E$16*(1+'Inputs'!$E$42)^$C29))</x:f>
      </x:c>
      <x:c r="T29" s="49" t="str">
        <x:f>IF($C29="","",S29-R29)</x:f>
      </x:c>
      <x:c r="U29" s="35" t="str">
        <x:f>IF($C29="","",L29-Q29)</x:f>
      </x:c>
      <x:c r="V29" s="41" t="str">
        <x:f>IF($C29="","",IF(L29=0,"n.a.",I29/L29))</x:f>
      </x:c>
      <x:c r="W29" s="41" t="str">
        <x:f>IF($C29="","",IF(L29=0,"n.a.",(I29-J29-K29)/L29))</x:f>
      </x:c>
    </x:row>
    <x:row r="30" ht="23" customHeight="1">
      <x:c r="C30" s="62" t="str">
        <x:f>IF(21&lt;='Inputs'!$E$45,21,"")</x:f>
      </x:c>
      <x:c r="D30" s="33" t="str">
        <x:f>IF($C30="","",'Inputs'!$E$24*12*(1+'Inputs'!$E$40)^($C30-1))</x:f>
      </x:c>
      <x:c r="E30" s="33" t="str">
        <x:f>IF($C30="","",'Inputs'!$E$25*12*(1+'Inputs'!$E$40)^($C30-1))</x:f>
      </x:c>
      <x:c r="F30" s="33" t="str">
        <x:f>IF($C30="","",SUM(D30:E30)*'Inputs'!$E$26)</x:f>
      </x:c>
      <x:c r="G30" s="35" t="str">
        <x:f>IF($C30="","",SUM(D30:E30)-F30)</x:f>
      </x:c>
      <x:c r="H30" s="33" t="str">
        <x:f>IF($C30="","",G30*'Inputs'!$E$27+'Property Model'!$E$27*(1+'Inputs'!$E$41)^($C30-1))</x:f>
      </x:c>
      <x:c r="I30" s="49" t="str">
        <x:f>IF($C30="","",G30-H30)</x:f>
      </x:c>
      <x:c r="J30" s="33" t="str">
        <x:f>IF($C30="","",'Inputs'!$E$35*(1+'Inputs'!$E$41)^($C30-1))</x:f>
      </x:c>
      <x:c r="K30" s="33" t="str">
        <x:f>IF($C30="","",IF('Inputs'!$E$56="On",G30*'Inputs'!$E$62,0)+'Inputs'!$E$36*(1+'Inputs'!$E$41)^($C30-1))</x:f>
      </x:c>
      <x:c r="L30" s="33" t="str">
        <x:f>IF($C30="","",IF(O30&lt;=0,0,'Property Model'!$E$18*MIN(12,MAX(0,('Inputs'!$E$20-$C30+1)*12))))</x:f>
      </x:c>
      <x:c r="M30" s="35" t="str">
        <x:f>IF($C30="","",IF(AND($C30='Inputs'!$E$19,$C30&lt;'Inputs'!$E$45),P30,0))</x:f>
      </x:c>
      <x:c r="N30" s="49" t="str">
        <x:f>IF($C30="","",I30-SUM(J30:M30))</x:f>
      </x:c>
      <x:c r="O30" s="35" t="str">
        <x:f>IF($C30="","",R29)</x:f>
      </x:c>
      <x:c r="P30" s="33" t="str">
        <x:f>IF($C30="","",IF(OR(O30&lt;=0,$C30&gt;='Inputs'!$E$20),0,MAX(0,-FV('Inputs'!$E$18/12,12,-'Property Model'!$E$18,O30))))</x:f>
      </x:c>
      <x:c r="Q30" s="35" t="str">
        <x:f>IF($C30="","",O30-P30)</x:f>
      </x:c>
      <x:c r="R30" s="49" t="str">
        <x:f>IF($C30="","",P30-M30)</x:f>
      </x:c>
      <x:c r="S30" s="33" t="str">
        <x:f>IF($C30="","",IF($C30='Inputs'!$E$45,'Property Model'!$E$43,'Property Model'!$E$16*(1+'Inputs'!$E$42)^$C30))</x:f>
      </x:c>
      <x:c r="T30" s="49" t="str">
        <x:f>IF($C30="","",S30-R30)</x:f>
      </x:c>
      <x:c r="U30" s="35" t="str">
        <x:f>IF($C30="","",L30-Q30)</x:f>
      </x:c>
      <x:c r="V30" s="41" t="str">
        <x:f>IF($C30="","",IF(L30=0,"n.a.",I30/L30))</x:f>
      </x:c>
      <x:c r="W30" s="41" t="str">
        <x:f>IF($C30="","",IF(L30=0,"n.a.",(I30-J30-K30)/L30))</x:f>
      </x:c>
    </x:row>
    <x:row r="31" ht="23" customHeight="1">
      <x:c r="C31" s="62" t="str">
        <x:f>IF(22&lt;='Inputs'!$E$45,22,"")</x:f>
      </x:c>
      <x:c r="D31" s="33" t="str">
        <x:f>IF($C31="","",'Inputs'!$E$24*12*(1+'Inputs'!$E$40)^($C31-1))</x:f>
      </x:c>
      <x:c r="E31" s="33" t="str">
        <x:f>IF($C31="","",'Inputs'!$E$25*12*(1+'Inputs'!$E$40)^($C31-1))</x:f>
      </x:c>
      <x:c r="F31" s="33" t="str">
        <x:f>IF($C31="","",SUM(D31:E31)*'Inputs'!$E$26)</x:f>
      </x:c>
      <x:c r="G31" s="35" t="str">
        <x:f>IF($C31="","",SUM(D31:E31)-F31)</x:f>
      </x:c>
      <x:c r="H31" s="33" t="str">
        <x:f>IF($C31="","",G31*'Inputs'!$E$27+'Property Model'!$E$27*(1+'Inputs'!$E$41)^($C31-1))</x:f>
      </x:c>
      <x:c r="I31" s="49" t="str">
        <x:f>IF($C31="","",G31-H31)</x:f>
      </x:c>
      <x:c r="J31" s="33" t="str">
        <x:f>IF($C31="","",'Inputs'!$E$35*(1+'Inputs'!$E$41)^($C31-1))</x:f>
      </x:c>
      <x:c r="K31" s="33" t="str">
        <x:f>IF($C31="","",IF('Inputs'!$E$56="On",G31*'Inputs'!$E$62,0)+'Inputs'!$E$36*(1+'Inputs'!$E$41)^($C31-1))</x:f>
      </x:c>
      <x:c r="L31" s="33" t="str">
        <x:f>IF($C31="","",IF(O31&lt;=0,0,'Property Model'!$E$18*MIN(12,MAX(0,('Inputs'!$E$20-$C31+1)*12))))</x:f>
      </x:c>
      <x:c r="M31" s="35" t="str">
        <x:f>IF($C31="","",IF(AND($C31='Inputs'!$E$19,$C31&lt;'Inputs'!$E$45),P31,0))</x:f>
      </x:c>
      <x:c r="N31" s="49" t="str">
        <x:f>IF($C31="","",I31-SUM(J31:M31))</x:f>
      </x:c>
      <x:c r="O31" s="35" t="str">
        <x:f>IF($C31="","",R30)</x:f>
      </x:c>
      <x:c r="P31" s="33" t="str">
        <x:f>IF($C31="","",IF(OR(O31&lt;=0,$C31&gt;='Inputs'!$E$20),0,MAX(0,-FV('Inputs'!$E$18/12,12,-'Property Model'!$E$18,O31))))</x:f>
      </x:c>
      <x:c r="Q31" s="35" t="str">
        <x:f>IF($C31="","",O31-P31)</x:f>
      </x:c>
      <x:c r="R31" s="49" t="str">
        <x:f>IF($C31="","",P31-M31)</x:f>
      </x:c>
      <x:c r="S31" s="33" t="str">
        <x:f>IF($C31="","",IF($C31='Inputs'!$E$45,'Property Model'!$E$43,'Property Model'!$E$16*(1+'Inputs'!$E$42)^$C31))</x:f>
      </x:c>
      <x:c r="T31" s="49" t="str">
        <x:f>IF($C31="","",S31-R31)</x:f>
      </x:c>
      <x:c r="U31" s="35" t="str">
        <x:f>IF($C31="","",L31-Q31)</x:f>
      </x:c>
      <x:c r="V31" s="41" t="str">
        <x:f>IF($C31="","",IF(L31=0,"n.a.",I31/L31))</x:f>
      </x:c>
      <x:c r="W31" s="41" t="str">
        <x:f>IF($C31="","",IF(L31=0,"n.a.",(I31-J31-K31)/L31))</x:f>
      </x:c>
    </x:row>
    <x:row r="32" ht="23" customHeight="1">
      <x:c r="C32" s="62" t="str">
        <x:f>IF(23&lt;='Inputs'!$E$45,23,"")</x:f>
      </x:c>
      <x:c r="D32" s="33" t="str">
        <x:f>IF($C32="","",'Inputs'!$E$24*12*(1+'Inputs'!$E$40)^($C32-1))</x:f>
      </x:c>
      <x:c r="E32" s="33" t="str">
        <x:f>IF($C32="","",'Inputs'!$E$25*12*(1+'Inputs'!$E$40)^($C32-1))</x:f>
      </x:c>
      <x:c r="F32" s="33" t="str">
        <x:f>IF($C32="","",SUM(D32:E32)*'Inputs'!$E$26)</x:f>
      </x:c>
      <x:c r="G32" s="35" t="str">
        <x:f>IF($C32="","",SUM(D32:E32)-F32)</x:f>
      </x:c>
      <x:c r="H32" s="33" t="str">
        <x:f>IF($C32="","",G32*'Inputs'!$E$27+'Property Model'!$E$27*(1+'Inputs'!$E$41)^($C32-1))</x:f>
      </x:c>
      <x:c r="I32" s="49" t="str">
        <x:f>IF($C32="","",G32-H32)</x:f>
      </x:c>
      <x:c r="J32" s="33" t="str">
        <x:f>IF($C32="","",'Inputs'!$E$35*(1+'Inputs'!$E$41)^($C32-1))</x:f>
      </x:c>
      <x:c r="K32" s="33" t="str">
        <x:f>IF($C32="","",IF('Inputs'!$E$56="On",G32*'Inputs'!$E$62,0)+'Inputs'!$E$36*(1+'Inputs'!$E$41)^($C32-1))</x:f>
      </x:c>
      <x:c r="L32" s="33" t="str">
        <x:f>IF($C32="","",IF(O32&lt;=0,0,'Property Model'!$E$18*MIN(12,MAX(0,('Inputs'!$E$20-$C32+1)*12))))</x:f>
      </x:c>
      <x:c r="M32" s="35" t="str">
        <x:f>IF($C32="","",IF(AND($C32='Inputs'!$E$19,$C32&lt;'Inputs'!$E$45),P32,0))</x:f>
      </x:c>
      <x:c r="N32" s="49" t="str">
        <x:f>IF($C32="","",I32-SUM(J32:M32))</x:f>
      </x:c>
      <x:c r="O32" s="35" t="str">
        <x:f>IF($C32="","",R31)</x:f>
      </x:c>
      <x:c r="P32" s="33" t="str">
        <x:f>IF($C32="","",IF(OR(O32&lt;=0,$C32&gt;='Inputs'!$E$20),0,MAX(0,-FV('Inputs'!$E$18/12,12,-'Property Model'!$E$18,O32))))</x:f>
      </x:c>
      <x:c r="Q32" s="35" t="str">
        <x:f>IF($C32="","",O32-P32)</x:f>
      </x:c>
      <x:c r="R32" s="49" t="str">
        <x:f>IF($C32="","",P32-M32)</x:f>
      </x:c>
      <x:c r="S32" s="33" t="str">
        <x:f>IF($C32="","",IF($C32='Inputs'!$E$45,'Property Model'!$E$43,'Property Model'!$E$16*(1+'Inputs'!$E$42)^$C32))</x:f>
      </x:c>
      <x:c r="T32" s="49" t="str">
        <x:f>IF($C32="","",S32-R32)</x:f>
      </x:c>
      <x:c r="U32" s="35" t="str">
        <x:f>IF($C32="","",L32-Q32)</x:f>
      </x:c>
      <x:c r="V32" s="41" t="str">
        <x:f>IF($C32="","",IF(L32=0,"n.a.",I32/L32))</x:f>
      </x:c>
      <x:c r="W32" s="41" t="str">
        <x:f>IF($C32="","",IF(L32=0,"n.a.",(I32-J32-K32)/L32))</x:f>
      </x:c>
    </x:row>
    <x:row r="33" ht="23" customHeight="1">
      <x:c r="C33" s="62" t="str">
        <x:f>IF(24&lt;='Inputs'!$E$45,24,"")</x:f>
      </x:c>
      <x:c r="D33" s="33" t="str">
        <x:f>IF($C33="","",'Inputs'!$E$24*12*(1+'Inputs'!$E$40)^($C33-1))</x:f>
      </x:c>
      <x:c r="E33" s="33" t="str">
        <x:f>IF($C33="","",'Inputs'!$E$25*12*(1+'Inputs'!$E$40)^($C33-1))</x:f>
      </x:c>
      <x:c r="F33" s="33" t="str">
        <x:f>IF($C33="","",SUM(D33:E33)*'Inputs'!$E$26)</x:f>
      </x:c>
      <x:c r="G33" s="35" t="str">
        <x:f>IF($C33="","",SUM(D33:E33)-F33)</x:f>
      </x:c>
      <x:c r="H33" s="33" t="str">
        <x:f>IF($C33="","",G33*'Inputs'!$E$27+'Property Model'!$E$27*(1+'Inputs'!$E$41)^($C33-1))</x:f>
      </x:c>
      <x:c r="I33" s="49" t="str">
        <x:f>IF($C33="","",G33-H33)</x:f>
      </x:c>
      <x:c r="J33" s="33" t="str">
        <x:f>IF($C33="","",'Inputs'!$E$35*(1+'Inputs'!$E$41)^($C33-1))</x:f>
      </x:c>
      <x:c r="K33" s="33" t="str">
        <x:f>IF($C33="","",IF('Inputs'!$E$56="On",G33*'Inputs'!$E$62,0)+'Inputs'!$E$36*(1+'Inputs'!$E$41)^($C33-1))</x:f>
      </x:c>
      <x:c r="L33" s="33" t="str">
        <x:f>IF($C33="","",IF(O33&lt;=0,0,'Property Model'!$E$18*MIN(12,MAX(0,('Inputs'!$E$20-$C33+1)*12))))</x:f>
      </x:c>
      <x:c r="M33" s="35" t="str">
        <x:f>IF($C33="","",IF(AND($C33='Inputs'!$E$19,$C33&lt;'Inputs'!$E$45),P33,0))</x:f>
      </x:c>
      <x:c r="N33" s="49" t="str">
        <x:f>IF($C33="","",I33-SUM(J33:M33))</x:f>
      </x:c>
      <x:c r="O33" s="35" t="str">
        <x:f>IF($C33="","",R32)</x:f>
      </x:c>
      <x:c r="P33" s="33" t="str">
        <x:f>IF($C33="","",IF(OR(O33&lt;=0,$C33&gt;='Inputs'!$E$20),0,MAX(0,-FV('Inputs'!$E$18/12,12,-'Property Model'!$E$18,O33))))</x:f>
      </x:c>
      <x:c r="Q33" s="35" t="str">
        <x:f>IF($C33="","",O33-P33)</x:f>
      </x:c>
      <x:c r="R33" s="49" t="str">
        <x:f>IF($C33="","",P33-M33)</x:f>
      </x:c>
      <x:c r="S33" s="33" t="str">
        <x:f>IF($C33="","",IF($C33='Inputs'!$E$45,'Property Model'!$E$43,'Property Model'!$E$16*(1+'Inputs'!$E$42)^$C33))</x:f>
      </x:c>
      <x:c r="T33" s="49" t="str">
        <x:f>IF($C33="","",S33-R33)</x:f>
      </x:c>
      <x:c r="U33" s="35" t="str">
        <x:f>IF($C33="","",L33-Q33)</x:f>
      </x:c>
      <x:c r="V33" s="41" t="str">
        <x:f>IF($C33="","",IF(L33=0,"n.a.",I33/L33))</x:f>
      </x:c>
      <x:c r="W33" s="41" t="str">
        <x:f>IF($C33="","",IF(L33=0,"n.a.",(I33-J33-K33)/L33))</x:f>
      </x:c>
    </x:row>
    <x:row r="34" ht="23" customHeight="1">
      <x:c r="C34" s="62" t="str">
        <x:f>IF(25&lt;='Inputs'!$E$45,25,"")</x:f>
      </x:c>
      <x:c r="D34" s="33" t="str">
        <x:f>IF($C34="","",'Inputs'!$E$24*12*(1+'Inputs'!$E$40)^($C34-1))</x:f>
      </x:c>
      <x:c r="E34" s="33" t="str">
        <x:f>IF($C34="","",'Inputs'!$E$25*12*(1+'Inputs'!$E$40)^($C34-1))</x:f>
      </x:c>
      <x:c r="F34" s="33" t="str">
        <x:f>IF($C34="","",SUM(D34:E34)*'Inputs'!$E$26)</x:f>
      </x:c>
      <x:c r="G34" s="35" t="str">
        <x:f>IF($C34="","",SUM(D34:E34)-F34)</x:f>
      </x:c>
      <x:c r="H34" s="33" t="str">
        <x:f>IF($C34="","",G34*'Inputs'!$E$27+'Property Model'!$E$27*(1+'Inputs'!$E$41)^($C34-1))</x:f>
      </x:c>
      <x:c r="I34" s="49" t="str">
        <x:f>IF($C34="","",G34-H34)</x:f>
      </x:c>
      <x:c r="J34" s="33" t="str">
        <x:f>IF($C34="","",'Inputs'!$E$35*(1+'Inputs'!$E$41)^($C34-1))</x:f>
      </x:c>
      <x:c r="K34" s="33" t="str">
        <x:f>IF($C34="","",IF('Inputs'!$E$56="On",G34*'Inputs'!$E$62,0)+'Inputs'!$E$36*(1+'Inputs'!$E$41)^($C34-1))</x:f>
      </x:c>
      <x:c r="L34" s="33" t="str">
        <x:f>IF($C34="","",IF(O34&lt;=0,0,'Property Model'!$E$18*MIN(12,MAX(0,('Inputs'!$E$20-$C34+1)*12))))</x:f>
      </x:c>
      <x:c r="M34" s="35" t="str">
        <x:f>IF($C34="","",IF(AND($C34='Inputs'!$E$19,$C34&lt;'Inputs'!$E$45),P34,0))</x:f>
      </x:c>
      <x:c r="N34" s="49" t="str">
        <x:f>IF($C34="","",I34-SUM(J34:M34))</x:f>
      </x:c>
      <x:c r="O34" s="35" t="str">
        <x:f>IF($C34="","",R33)</x:f>
      </x:c>
      <x:c r="P34" s="33" t="str">
        <x:f>IF($C34="","",IF(OR(O34&lt;=0,$C34&gt;='Inputs'!$E$20),0,MAX(0,-FV('Inputs'!$E$18/12,12,-'Property Model'!$E$18,O34))))</x:f>
      </x:c>
      <x:c r="Q34" s="35" t="str">
        <x:f>IF($C34="","",O34-P34)</x:f>
      </x:c>
      <x:c r="R34" s="49" t="str">
        <x:f>IF($C34="","",P34-M34)</x:f>
      </x:c>
      <x:c r="S34" s="33" t="str">
        <x:f>IF($C34="","",IF($C34='Inputs'!$E$45,'Property Model'!$E$43,'Property Model'!$E$16*(1+'Inputs'!$E$42)^$C34))</x:f>
      </x:c>
      <x:c r="T34" s="49" t="str">
        <x:f>IF($C34="","",S34-R34)</x:f>
      </x:c>
      <x:c r="U34" s="35" t="str">
        <x:f>IF($C34="","",L34-Q34)</x:f>
      </x:c>
      <x:c r="V34" s="41" t="str">
        <x:f>IF($C34="","",IF(L34=0,"n.a.",I34/L34))</x:f>
      </x:c>
      <x:c r="W34" s="41" t="str">
        <x:f>IF($C34="","",IF(L34=0,"n.a.",(I34-J34-K34)/L34))</x:f>
      </x:c>
    </x:row>
    <x:row r="35" ht="23" customHeight="1">
      <x:c r="C35" s="62" t="str">
        <x:f>IF(26&lt;='Inputs'!$E$45,26,"")</x:f>
      </x:c>
      <x:c r="D35" s="33" t="str">
        <x:f>IF($C35="","",'Inputs'!$E$24*12*(1+'Inputs'!$E$40)^($C35-1))</x:f>
      </x:c>
      <x:c r="E35" s="33" t="str">
        <x:f>IF($C35="","",'Inputs'!$E$25*12*(1+'Inputs'!$E$40)^($C35-1))</x:f>
      </x:c>
      <x:c r="F35" s="33" t="str">
        <x:f>IF($C35="","",SUM(D35:E35)*'Inputs'!$E$26)</x:f>
      </x:c>
      <x:c r="G35" s="35" t="str">
        <x:f>IF($C35="","",SUM(D35:E35)-F35)</x:f>
      </x:c>
      <x:c r="H35" s="33" t="str">
        <x:f>IF($C35="","",G35*'Inputs'!$E$27+'Property Model'!$E$27*(1+'Inputs'!$E$41)^($C35-1))</x:f>
      </x:c>
      <x:c r="I35" s="49" t="str">
        <x:f>IF($C35="","",G35-H35)</x:f>
      </x:c>
      <x:c r="J35" s="33" t="str">
        <x:f>IF($C35="","",'Inputs'!$E$35*(1+'Inputs'!$E$41)^($C35-1))</x:f>
      </x:c>
      <x:c r="K35" s="33" t="str">
        <x:f>IF($C35="","",IF('Inputs'!$E$56="On",G35*'Inputs'!$E$62,0)+'Inputs'!$E$36*(1+'Inputs'!$E$41)^($C35-1))</x:f>
      </x:c>
      <x:c r="L35" s="33" t="str">
        <x:f>IF($C35="","",IF(O35&lt;=0,0,'Property Model'!$E$18*MIN(12,MAX(0,('Inputs'!$E$20-$C35+1)*12))))</x:f>
      </x:c>
      <x:c r="M35" s="35" t="str">
        <x:f>IF($C35="","",IF(AND($C35='Inputs'!$E$19,$C35&lt;'Inputs'!$E$45),P35,0))</x:f>
      </x:c>
      <x:c r="N35" s="49" t="str">
        <x:f>IF($C35="","",I35-SUM(J35:M35))</x:f>
      </x:c>
      <x:c r="O35" s="35" t="str">
        <x:f>IF($C35="","",R34)</x:f>
      </x:c>
      <x:c r="P35" s="33" t="str">
        <x:f>IF($C35="","",IF(OR(O35&lt;=0,$C35&gt;='Inputs'!$E$20),0,MAX(0,-FV('Inputs'!$E$18/12,12,-'Property Model'!$E$18,O35))))</x:f>
      </x:c>
      <x:c r="Q35" s="35" t="str">
        <x:f>IF($C35="","",O35-P35)</x:f>
      </x:c>
      <x:c r="R35" s="49" t="str">
        <x:f>IF($C35="","",P35-M35)</x:f>
      </x:c>
      <x:c r="S35" s="33" t="str">
        <x:f>IF($C35="","",IF($C35='Inputs'!$E$45,'Property Model'!$E$43,'Property Model'!$E$16*(1+'Inputs'!$E$42)^$C35))</x:f>
      </x:c>
      <x:c r="T35" s="49" t="str">
        <x:f>IF($C35="","",S35-R35)</x:f>
      </x:c>
      <x:c r="U35" s="35" t="str">
        <x:f>IF($C35="","",L35-Q35)</x:f>
      </x:c>
      <x:c r="V35" s="41" t="str">
        <x:f>IF($C35="","",IF(L35=0,"n.a.",I35/L35))</x:f>
      </x:c>
      <x:c r="W35" s="41" t="str">
        <x:f>IF($C35="","",IF(L35=0,"n.a.",(I35-J35-K35)/L35))</x:f>
      </x:c>
    </x:row>
    <x:row r="36" ht="23" customHeight="1">
      <x:c r="C36" s="62" t="str">
        <x:f>IF(27&lt;='Inputs'!$E$45,27,"")</x:f>
      </x:c>
      <x:c r="D36" s="33" t="str">
        <x:f>IF($C36="","",'Inputs'!$E$24*12*(1+'Inputs'!$E$40)^($C36-1))</x:f>
      </x:c>
      <x:c r="E36" s="33" t="str">
        <x:f>IF($C36="","",'Inputs'!$E$25*12*(1+'Inputs'!$E$40)^($C36-1))</x:f>
      </x:c>
      <x:c r="F36" s="33" t="str">
        <x:f>IF($C36="","",SUM(D36:E36)*'Inputs'!$E$26)</x:f>
      </x:c>
      <x:c r="G36" s="35" t="str">
        <x:f>IF($C36="","",SUM(D36:E36)-F36)</x:f>
      </x:c>
      <x:c r="H36" s="33" t="str">
        <x:f>IF($C36="","",G36*'Inputs'!$E$27+'Property Model'!$E$27*(1+'Inputs'!$E$41)^($C36-1))</x:f>
      </x:c>
      <x:c r="I36" s="49" t="str">
        <x:f>IF($C36="","",G36-H36)</x:f>
      </x:c>
      <x:c r="J36" s="33" t="str">
        <x:f>IF($C36="","",'Inputs'!$E$35*(1+'Inputs'!$E$41)^($C36-1))</x:f>
      </x:c>
      <x:c r="K36" s="33" t="str">
        <x:f>IF($C36="","",IF('Inputs'!$E$56="On",G36*'Inputs'!$E$62,0)+'Inputs'!$E$36*(1+'Inputs'!$E$41)^($C36-1))</x:f>
      </x:c>
      <x:c r="L36" s="33" t="str">
        <x:f>IF($C36="","",IF(O36&lt;=0,0,'Property Model'!$E$18*MIN(12,MAX(0,('Inputs'!$E$20-$C36+1)*12))))</x:f>
      </x:c>
      <x:c r="M36" s="35" t="str">
        <x:f>IF($C36="","",IF(AND($C36='Inputs'!$E$19,$C36&lt;'Inputs'!$E$45),P36,0))</x:f>
      </x:c>
      <x:c r="N36" s="49" t="str">
        <x:f>IF($C36="","",I36-SUM(J36:M36))</x:f>
      </x:c>
      <x:c r="O36" s="35" t="str">
        <x:f>IF($C36="","",R35)</x:f>
      </x:c>
      <x:c r="P36" s="33" t="str">
        <x:f>IF($C36="","",IF(OR(O36&lt;=0,$C36&gt;='Inputs'!$E$20),0,MAX(0,-FV('Inputs'!$E$18/12,12,-'Property Model'!$E$18,O36))))</x:f>
      </x:c>
      <x:c r="Q36" s="35" t="str">
        <x:f>IF($C36="","",O36-P36)</x:f>
      </x:c>
      <x:c r="R36" s="49" t="str">
        <x:f>IF($C36="","",P36-M36)</x:f>
      </x:c>
      <x:c r="S36" s="33" t="str">
        <x:f>IF($C36="","",IF($C36='Inputs'!$E$45,'Property Model'!$E$43,'Property Model'!$E$16*(1+'Inputs'!$E$42)^$C36))</x:f>
      </x:c>
      <x:c r="T36" s="49" t="str">
        <x:f>IF($C36="","",S36-R36)</x:f>
      </x:c>
      <x:c r="U36" s="35" t="str">
        <x:f>IF($C36="","",L36-Q36)</x:f>
      </x:c>
      <x:c r="V36" s="41" t="str">
        <x:f>IF($C36="","",IF(L36=0,"n.a.",I36/L36))</x:f>
      </x:c>
      <x:c r="W36" s="41" t="str">
        <x:f>IF($C36="","",IF(L36=0,"n.a.",(I36-J36-K36)/L36))</x:f>
      </x:c>
    </x:row>
    <x:row r="37" ht="23" customHeight="1">
      <x:c r="C37" s="62" t="str">
        <x:f>IF(28&lt;='Inputs'!$E$45,28,"")</x:f>
      </x:c>
      <x:c r="D37" s="33" t="str">
        <x:f>IF($C37="","",'Inputs'!$E$24*12*(1+'Inputs'!$E$40)^($C37-1))</x:f>
      </x:c>
      <x:c r="E37" s="33" t="str">
        <x:f>IF($C37="","",'Inputs'!$E$25*12*(1+'Inputs'!$E$40)^($C37-1))</x:f>
      </x:c>
      <x:c r="F37" s="33" t="str">
        <x:f>IF($C37="","",SUM(D37:E37)*'Inputs'!$E$26)</x:f>
      </x:c>
      <x:c r="G37" s="35" t="str">
        <x:f>IF($C37="","",SUM(D37:E37)-F37)</x:f>
      </x:c>
      <x:c r="H37" s="33" t="str">
        <x:f>IF($C37="","",G37*'Inputs'!$E$27+'Property Model'!$E$27*(1+'Inputs'!$E$41)^($C37-1))</x:f>
      </x:c>
      <x:c r="I37" s="49" t="str">
        <x:f>IF($C37="","",G37-H37)</x:f>
      </x:c>
      <x:c r="J37" s="33" t="str">
        <x:f>IF($C37="","",'Inputs'!$E$35*(1+'Inputs'!$E$41)^($C37-1))</x:f>
      </x:c>
      <x:c r="K37" s="33" t="str">
        <x:f>IF($C37="","",IF('Inputs'!$E$56="On",G37*'Inputs'!$E$62,0)+'Inputs'!$E$36*(1+'Inputs'!$E$41)^($C37-1))</x:f>
      </x:c>
      <x:c r="L37" s="33" t="str">
        <x:f>IF($C37="","",IF(O37&lt;=0,0,'Property Model'!$E$18*MIN(12,MAX(0,('Inputs'!$E$20-$C37+1)*12))))</x:f>
      </x:c>
      <x:c r="M37" s="35" t="str">
        <x:f>IF($C37="","",IF(AND($C37='Inputs'!$E$19,$C37&lt;'Inputs'!$E$45),P37,0))</x:f>
      </x:c>
      <x:c r="N37" s="49" t="str">
        <x:f>IF($C37="","",I37-SUM(J37:M37))</x:f>
      </x:c>
      <x:c r="O37" s="35" t="str">
        <x:f>IF($C37="","",R36)</x:f>
      </x:c>
      <x:c r="P37" s="33" t="str">
        <x:f>IF($C37="","",IF(OR(O37&lt;=0,$C37&gt;='Inputs'!$E$20),0,MAX(0,-FV('Inputs'!$E$18/12,12,-'Property Model'!$E$18,O37))))</x:f>
      </x:c>
      <x:c r="Q37" s="35" t="str">
        <x:f>IF($C37="","",O37-P37)</x:f>
      </x:c>
      <x:c r="R37" s="49" t="str">
        <x:f>IF($C37="","",P37-M37)</x:f>
      </x:c>
      <x:c r="S37" s="33" t="str">
        <x:f>IF($C37="","",IF($C37='Inputs'!$E$45,'Property Model'!$E$43,'Property Model'!$E$16*(1+'Inputs'!$E$42)^$C37))</x:f>
      </x:c>
      <x:c r="T37" s="49" t="str">
        <x:f>IF($C37="","",S37-R37)</x:f>
      </x:c>
      <x:c r="U37" s="35" t="str">
        <x:f>IF($C37="","",L37-Q37)</x:f>
      </x:c>
      <x:c r="V37" s="41" t="str">
        <x:f>IF($C37="","",IF(L37=0,"n.a.",I37/L37))</x:f>
      </x:c>
      <x:c r="W37" s="41" t="str">
        <x:f>IF($C37="","",IF(L37=0,"n.a.",(I37-J37-K37)/L37))</x:f>
      </x:c>
    </x:row>
    <x:row r="38" ht="23" customHeight="1">
      <x:c r="C38" s="62" t="str">
        <x:f>IF(29&lt;='Inputs'!$E$45,29,"")</x:f>
      </x:c>
      <x:c r="D38" s="33" t="str">
        <x:f>IF($C38="","",'Inputs'!$E$24*12*(1+'Inputs'!$E$40)^($C38-1))</x:f>
      </x:c>
      <x:c r="E38" s="33" t="str">
        <x:f>IF($C38="","",'Inputs'!$E$25*12*(1+'Inputs'!$E$40)^($C38-1))</x:f>
      </x:c>
      <x:c r="F38" s="33" t="str">
        <x:f>IF($C38="","",SUM(D38:E38)*'Inputs'!$E$26)</x:f>
      </x:c>
      <x:c r="G38" s="35" t="str">
        <x:f>IF($C38="","",SUM(D38:E38)-F38)</x:f>
      </x:c>
      <x:c r="H38" s="33" t="str">
        <x:f>IF($C38="","",G38*'Inputs'!$E$27+'Property Model'!$E$27*(1+'Inputs'!$E$41)^($C38-1))</x:f>
      </x:c>
      <x:c r="I38" s="49" t="str">
        <x:f>IF($C38="","",G38-H38)</x:f>
      </x:c>
      <x:c r="J38" s="33" t="str">
        <x:f>IF($C38="","",'Inputs'!$E$35*(1+'Inputs'!$E$41)^($C38-1))</x:f>
      </x:c>
      <x:c r="K38" s="33" t="str">
        <x:f>IF($C38="","",IF('Inputs'!$E$56="On",G38*'Inputs'!$E$62,0)+'Inputs'!$E$36*(1+'Inputs'!$E$41)^($C38-1))</x:f>
      </x:c>
      <x:c r="L38" s="33" t="str">
        <x:f>IF($C38="","",IF(O38&lt;=0,0,'Property Model'!$E$18*MIN(12,MAX(0,('Inputs'!$E$20-$C38+1)*12))))</x:f>
      </x:c>
      <x:c r="M38" s="35" t="str">
        <x:f>IF($C38="","",IF(AND($C38='Inputs'!$E$19,$C38&lt;'Inputs'!$E$45),P38,0))</x:f>
      </x:c>
      <x:c r="N38" s="49" t="str">
        <x:f>IF($C38="","",I38-SUM(J38:M38))</x:f>
      </x:c>
      <x:c r="O38" s="35" t="str">
        <x:f>IF($C38="","",R37)</x:f>
      </x:c>
      <x:c r="P38" s="33" t="str">
        <x:f>IF($C38="","",IF(OR(O38&lt;=0,$C38&gt;='Inputs'!$E$20),0,MAX(0,-FV('Inputs'!$E$18/12,12,-'Property Model'!$E$18,O38))))</x:f>
      </x:c>
      <x:c r="Q38" s="35" t="str">
        <x:f>IF($C38="","",O38-P38)</x:f>
      </x:c>
      <x:c r="R38" s="49" t="str">
        <x:f>IF($C38="","",P38-M38)</x:f>
      </x:c>
      <x:c r="S38" s="33" t="str">
        <x:f>IF($C38="","",IF($C38='Inputs'!$E$45,'Property Model'!$E$43,'Property Model'!$E$16*(1+'Inputs'!$E$42)^$C38))</x:f>
      </x:c>
      <x:c r="T38" s="49" t="str">
        <x:f>IF($C38="","",S38-R38)</x:f>
      </x:c>
      <x:c r="U38" s="35" t="str">
        <x:f>IF($C38="","",L38-Q38)</x:f>
      </x:c>
      <x:c r="V38" s="41" t="str">
        <x:f>IF($C38="","",IF(L38=0,"n.a.",I38/L38))</x:f>
      </x:c>
      <x:c r="W38" s="41" t="str">
        <x:f>IF($C38="","",IF(L38=0,"n.a.",(I38-J38-K38)/L38))</x:f>
      </x:c>
    </x:row>
    <x:row r="39" ht="23" customHeight="1">
      <x:c r="C39" s="62" t="str">
        <x:f>IF(30&lt;='Inputs'!$E$45,30,"")</x:f>
      </x:c>
      <x:c r="D39" s="33" t="str">
        <x:f>IF($C39="","",'Inputs'!$E$24*12*(1+'Inputs'!$E$40)^($C39-1))</x:f>
      </x:c>
      <x:c r="E39" s="33" t="str">
        <x:f>IF($C39="","",'Inputs'!$E$25*12*(1+'Inputs'!$E$40)^($C39-1))</x:f>
      </x:c>
      <x:c r="F39" s="33" t="str">
        <x:f>IF($C39="","",SUM(D39:E39)*'Inputs'!$E$26)</x:f>
      </x:c>
      <x:c r="G39" s="35" t="str">
        <x:f>IF($C39="","",SUM(D39:E39)-F39)</x:f>
      </x:c>
      <x:c r="H39" s="33" t="str">
        <x:f>IF($C39="","",G39*'Inputs'!$E$27+'Property Model'!$E$27*(1+'Inputs'!$E$41)^($C39-1))</x:f>
      </x:c>
      <x:c r="I39" s="49" t="str">
        <x:f>IF($C39="","",G39-H39)</x:f>
      </x:c>
      <x:c r="J39" s="33" t="str">
        <x:f>IF($C39="","",'Inputs'!$E$35*(1+'Inputs'!$E$41)^($C39-1))</x:f>
      </x:c>
      <x:c r="K39" s="33" t="str">
        <x:f>IF($C39="","",IF('Inputs'!$E$56="On",G39*'Inputs'!$E$62,0)+'Inputs'!$E$36*(1+'Inputs'!$E$41)^($C39-1))</x:f>
      </x:c>
      <x:c r="L39" s="33" t="str">
        <x:f>IF($C39="","",IF(O39&lt;=0,0,'Property Model'!$E$18*MIN(12,MAX(0,('Inputs'!$E$20-$C39+1)*12))))</x:f>
      </x:c>
      <x:c r="M39" s="35" t="str">
        <x:f>IF($C39="","",IF(AND($C39='Inputs'!$E$19,$C39&lt;'Inputs'!$E$45),P39,0))</x:f>
      </x:c>
      <x:c r="N39" s="49" t="str">
        <x:f>IF($C39="","",I39-SUM(J39:M39))</x:f>
      </x:c>
      <x:c r="O39" s="35" t="str">
        <x:f>IF($C39="","",R38)</x:f>
      </x:c>
      <x:c r="P39" s="33" t="str">
        <x:f>IF($C39="","",IF(OR(O39&lt;=0,$C39&gt;='Inputs'!$E$20),0,MAX(0,-FV('Inputs'!$E$18/12,12,-'Property Model'!$E$18,O39))))</x:f>
      </x:c>
      <x:c r="Q39" s="35" t="str">
        <x:f>IF($C39="","",O39-P39)</x:f>
      </x:c>
      <x:c r="R39" s="49" t="str">
        <x:f>IF($C39="","",P39-M39)</x:f>
      </x:c>
      <x:c r="S39" s="33" t="str">
        <x:f>IF($C39="","",IF($C39='Inputs'!$E$45,'Property Model'!$E$43,'Property Model'!$E$16*(1+'Inputs'!$E$42)^$C39))</x:f>
      </x:c>
      <x:c r="T39" s="49" t="str">
        <x:f>IF($C39="","",S39-R39)</x:f>
      </x:c>
      <x:c r="U39" s="35" t="str">
        <x:f>IF($C39="","",L39-Q39)</x:f>
      </x:c>
      <x:c r="V39" s="41" t="str">
        <x:f>IF($C39="","",IF(L39=0,"n.a.",I39/L39))</x:f>
      </x:c>
      <x:c r="W39" s="41" t="str">
        <x:f>IF($C39="","",IF(L39=0,"n.a.",(I39-J39-K39)/L39))</x:f>
      </x:c>
    </x:row>
    <x:row r="40" ht="23" customHeight="1">
      <x:c r="C40" s="2"/>
      <x:c r="D40" s="2"/>
      <x:c r="E40" s="2"/>
      <x:c r="F40" s="2"/>
      <x:c r="G40" s="2"/>
      <x:c r="H40" s="2"/>
      <x:c r="I40" s="2"/>
      <x:c r="J40" s="2"/>
      <x:c r="K40" s="2"/>
      <x:c r="L40" s="2"/>
      <x:c r="M40" s="2"/>
      <x:c r="N40" s="2"/>
      <x:c r="O40" s="2"/>
      <x:c r="P40" s="2"/>
      <x:c r="Q40" s="2"/>
      <x:c r="R40" s="2"/>
      <x:c r="S40" s="2"/>
      <x:c r="T40" s="2"/>
      <x:c r="U40" s="2"/>
      <x:c r="V40" s="2"/>
      <x:c r="W40" s="2"/>
    </x:row>
    <x:row r="41" ht="23" customHeight="1">
      <x:c r="C41" s="2"/>
      <x:c r="D41" s="2"/>
      <x:c r="E41" s="2"/>
      <x:c r="F41" s="2"/>
      <x:c r="G41" s="2"/>
      <x:c r="H41" s="2"/>
      <x:c r="I41" s="2"/>
      <x:c r="J41" s="2"/>
      <x:c r="K41" s="2"/>
      <x:c r="L41" s="2"/>
      <x:c r="M41" s="2"/>
      <x:c r="N41" s="2"/>
      <x:c r="O41" s="2"/>
      <x:c r="P41" s="2"/>
      <x:c r="Q41" s="2"/>
      <x:c r="R41" s="2"/>
      <x:c r="S41" s="2"/>
      <x:c r="T41" s="2"/>
      <x:c r="U41" s="2"/>
      <x:c r="V41" s="2"/>
      <x:c r="W41" s="2"/>
    </x:row>
    <x:row r="42" ht="28" customHeight="1">
      <x:c r="C42" s="6" t="str">
        <x:v>Owner cash flow deducts the capital allowance, sponsor/loan fees, scheduled principal and interest, and any earlier maturity balloon. The sale payoff is deducted once in net sale proceeds. Remaining years assume ownership continues after a cash-funded balloon.</x:v>
      </x:c>
      <x:c r="D42" s="6"/>
      <x:c r="E42" s="6"/>
      <x:c r="F42" s="6"/>
      <x:c r="G42" s="6"/>
      <x:c r="H42" s="6"/>
      <x:c r="I42" s="6"/>
      <x:c r="J42" s="6"/>
      <x:c r="K42" s="6"/>
      <x:c r="L42" s="6"/>
      <x:c r="M42" s="6"/>
      <x:c r="N42" s="6"/>
      <x:c r="O42" s="6"/>
      <x:c r="P42" s="6"/>
      <x:c r="Q42" s="6"/>
      <x:c r="R42" s="6"/>
      <x:c r="S42" s="6"/>
      <x:c r="T42" s="6"/>
      <x:c r="U42" s="6"/>
      <x:c r="V42" s="6"/>
      <x:c r="W42" s="6"/>
    </x:row>
    <x:row r="43" ht="28" customHeight="1">
      <x:c r="C43" s="6"/>
      <x:c r="D43" s="6"/>
      <x:c r="E43" s="6"/>
      <x:c r="F43" s="6"/>
      <x:c r="G43" s="6"/>
      <x:c r="H43" s="6"/>
      <x:c r="I43" s="6"/>
      <x:c r="J43" s="6"/>
      <x:c r="K43" s="6"/>
      <x:c r="L43" s="6"/>
      <x:c r="M43" s="6"/>
      <x:c r="N43" s="6"/>
      <x:c r="O43" s="6"/>
      <x:c r="P43" s="6"/>
      <x:c r="Q43" s="6"/>
      <x:c r="R43" s="6"/>
      <x:c r="S43" s="6"/>
      <x:c r="T43" s="6"/>
      <x:c r="U43" s="6"/>
      <x:c r="V43" s="6"/>
      <x:c r="W43" s="6"/>
    </x:row>
    <x:row r="44" ht="23" customHeight="1">
      <x:c r="C44" s="2"/>
      <x:c r="D44" s="2"/>
      <x:c r="E44" s="2"/>
      <x:c r="F44" s="2"/>
      <x:c r="G44" s="2"/>
      <x:c r="H44" s="2"/>
      <x:c r="I44" s="2"/>
      <x:c r="J44" s="2"/>
      <x:c r="K44" s="2"/>
      <x:c r="L44" s="2"/>
      <x:c r="M44" s="2"/>
      <x:c r="N44" s="2"/>
      <x:c r="O44" s="2"/>
      <x:c r="P44" s="2"/>
      <x:c r="Q44" s="2"/>
      <x:c r="R44" s="2"/>
      <x:c r="S44" s="2"/>
      <x:c r="T44" s="2"/>
      <x:c r="U44" s="2"/>
      <x:c r="V44" s="2"/>
      <x:c r="W44" s="2"/>
    </x:row>
  </x:sheetData>
  <x:mergeCells>
    <x:mergeCell ref="C2:N2"/>
    <x:mergeCell ref="C4:N4"/>
    <x:mergeCell ref="C42:W43"/>
  </x:mergeCells>
  <x:conditionalFormatting sqref="N10:N39">
    <x:cfRule type="cellIs" dxfId="4" priority="1" operator="lessThan">
      <x:formula>0</x:formula>
    </x:cfRule>
  </x:conditionalFormatting>
  <x:conditionalFormatting sqref="M10:M39">
    <x:cfRule type="cellIs" dxfId="5" priority="2" operator="greaterThan">
      <x:formula>0</x:formula>
    </x:cfRule>
  </x:conditionalFormatting>
  <x:conditionalFormatting sqref="V10:W39">
    <x:cfRule type="expression" dxfId="6" priority="3">
      <x:formula>AND(ISNUMBER(V10),V10&lt;1)</x:formula>
    </x:cfRule>
  </x:conditionalFormatting>
  <x:pageMargins left="0.7" right="0.7" top="0.75" bottom="0.75" header="0.3" footer="0.3"/>
</x:worksheet>
</file>

<file path=xl/worksheets/sheet5.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200000047683716" hidden="0" customWidth="1"/>
    <x:col min="2" max="2" width="2.200000047683716" hidden="0" customWidth="1"/>
    <x:col min="3" max="3" width="17" hidden="0" customWidth="1"/>
    <x:col min="4" max="4" width="17" hidden="0" customWidth="1"/>
    <x:col min="5" max="5" width="19" hidden="0" customWidth="1"/>
    <x:col min="6" max="6" width="17" hidden="0" customWidth="1"/>
    <x:col min="7" max="7" width="17" hidden="0" customWidth="1"/>
    <x:col min="8" max="8" width="17" hidden="0" customWidth="1"/>
    <x:col min="9" max="9" width="17" hidden="0" customWidth="1"/>
    <x:col min="10" max="10" width="19" hidden="0" customWidth="1"/>
    <x:col min="11" max="11" width="17" hidden="0" customWidth="1"/>
    <x:col min="12" max="12" width="17" hidden="0" customWidth="1"/>
    <x:col min="13" max="13" width="17" hidden="0" customWidth="1"/>
    <x:col min="14" max="14" width="17" hidden="0" customWidth="1"/>
    <x:col min="15" max="15" width="19" hidden="0" customWidth="1"/>
    <x:col min="16" max="16" width="17" hidden="0" customWidth="1"/>
    <x:col min="17" max="17" width="17" hidden="0" customWidth="1"/>
    <x:col min="18" max="18" width="17" hidden="0" customWidth="1"/>
    <x:col min="19" max="19" width="17" hidden="0" customWidth="1"/>
    <x:col min="20" max="20" width="3" hidden="0" customWidth="1"/>
    <x:col min="21" max="21" width="8" hidden="0" customWidth="1"/>
    <x:col min="22" max="22" width="17" hidden="0" customWidth="1"/>
    <x:col min="23" max="23" width="17" hidden="0" customWidth="1"/>
    <x:col min="24" max="24" width="17" hidden="0" customWidth="1"/>
    <x:col min="25" max="25" width="17" hidden="0" customWidth="1"/>
    <x:col min="26" max="26" width="17" hidden="0" customWidth="1"/>
    <x:col min="27" max="27" width="17" hidden="0" customWidth="1"/>
    <x:col min="28" max="28" width="17" hidden="0" customWidth="1"/>
    <x:col min="29" max="29" width="17" hidden="0" customWidth="1"/>
    <x:col min="30" max="30" width="17" hidden="0" customWidth="1"/>
    <x:col min="31" max="31" width="17" hidden="0" customWidth="1"/>
  </x:cols>
  <x:sheetData>
    <x:row r="2" ht="31" customHeight="1">
      <x:c r="C2" s="3" t="str">
        <x:v>Investor returns</x:v>
      </x:c>
      <x:c r="D2" s="3"/>
      <x:c r="E2" s="3"/>
      <x:c r="F2" s="3"/>
      <x:c r="G2" s="3"/>
      <x:c r="H2" s="3"/>
      <x:c r="I2" s="3"/>
      <x:c r="J2" s="3"/>
      <x:c r="K2" s="3"/>
      <x:c r="L2" s="3"/>
      <x:c r="M2" s="3"/>
      <x:c r="N2" s="3"/>
      <x:c r="O2" s="3"/>
      <x:c r="P2" s="3"/>
      <x:c r="Q2" s="3"/>
      <x:c r="R2" s="3"/>
      <x:c r="S2" s="3"/>
      <x:c r="T2" s="2"/>
      <x:c r="U2" s="2"/>
      <x:c r="V2" s="2"/>
      <x:c r="W2" s="2"/>
      <x:c r="X2" s="2"/>
      <x:c r="Y2" s="2"/>
      <x:c r="Z2" s="2"/>
      <x:c r="AA2" s="2"/>
      <x:c r="AB2" s="2"/>
      <x:c r="AC2" s="2"/>
      <x:c r="AD2" s="2"/>
      <x:c r="AE2" s="2"/>
    </x:row>
    <x:row r="3" ht="23" customHeight="1">
      <x:c r="C3" s="4"/>
      <x:c r="D3" s="4"/>
      <x:c r="E3" s="4"/>
      <x:c r="F3" s="4"/>
      <x:c r="G3" s="4"/>
      <x:c r="H3" s="4"/>
      <x:c r="I3" s="4"/>
      <x:c r="J3" s="4"/>
      <x:c r="K3" s="4"/>
      <x:c r="L3" s="4"/>
      <x:c r="M3" s="4"/>
      <x:c r="N3" s="4"/>
      <x:c r="O3" s="4"/>
      <x:c r="P3" s="4"/>
      <x:c r="Q3" s="4"/>
      <x:c r="R3" s="4"/>
      <x:c r="S3" s="4"/>
      <x:c r="T3" s="2"/>
      <x:c r="U3" s="2"/>
      <x:c r="V3" s="2"/>
      <x:c r="W3" s="2"/>
      <x:c r="X3" s="2"/>
      <x:c r="Y3" s="2"/>
      <x:c r="Z3" s="2"/>
      <x:c r="AA3" s="2"/>
      <x:c r="AB3" s="2"/>
      <x:c r="AC3" s="2"/>
      <x:c r="AD3" s="2"/>
      <x:c r="AE3" s="2"/>
    </x:row>
    <x:row r="4" ht="31" customHeight="1">
      <x:c r="C4" s="6" t="str">
        <x:v>SIMPLIFIED WATERFALL. Cumulative noncompounding LP preference, then remaining profit split. Available cash limits every distribution. An 8% preferred return is not guaranteed.</x:v>
      </x:c>
      <x:c r="D4" s="6"/>
      <x:c r="E4" s="6"/>
      <x:c r="F4" s="6"/>
      <x:c r="G4" s="6"/>
      <x:c r="H4" s="6"/>
      <x:c r="I4" s="6"/>
      <x:c r="J4" s="6"/>
      <x:c r="K4" s="6"/>
      <x:c r="L4" s="6"/>
      <x:c r="M4" s="6"/>
      <x:c r="N4" s="6"/>
      <x:c r="O4" s="6"/>
      <x:c r="P4" s="6"/>
      <x:c r="Q4" s="6"/>
      <x:c r="R4" s="6"/>
      <x:c r="S4" s="6"/>
      <x:c r="T4" s="2"/>
      <x:c r="U4" s="2"/>
      <x:c r="V4" s="2"/>
      <x:c r="W4" s="2"/>
      <x:c r="X4" s="2"/>
      <x:c r="Y4" s="2"/>
      <x:c r="Z4" s="2"/>
      <x:c r="AA4" s="2"/>
      <x:c r="AB4" s="2"/>
      <x:c r="AC4" s="2"/>
      <x:c r="AD4" s="2"/>
      <x:c r="AE4" s="2"/>
    </x:row>
    <x:row r="5" ht="23" customHeight="1">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row>
    <x:row r="6" ht="23" customHeight="1">
      <x:c r="C6" s="2" t="str">
        <x:v>Optional model</x:v>
      </x:c>
      <x:c r="D6" s="2"/>
      <x:c r="E6" s="29" t="str">
        <x:f>'Inputs'!$E$56</x:f>
        <x:v>Off</x:v>
      </x:c>
      <x:c r="F6" s="2"/>
      <x:c r="G6" s="2"/>
      <x:c r="H6" s="2"/>
      <x:c r="I6" s="2"/>
      <x:c r="J6" s="2"/>
      <x:c r="K6" s="2"/>
      <x:c r="L6" s="2"/>
      <x:c r="M6" s="2"/>
      <x:c r="N6" s="2"/>
      <x:c r="O6" s="2"/>
      <x:c r="P6" s="2"/>
      <x:c r="Q6" s="2"/>
      <x:c r="R6" s="2"/>
      <x:c r="S6" s="2"/>
      <x:c r="T6" s="2"/>
      <x:c r="U6" s="2"/>
      <x:c r="V6" s="2"/>
      <x:c r="W6" s="2"/>
      <x:c r="X6" s="2"/>
      <x:c r="Y6" s="2"/>
      <x:c r="Z6" s="2"/>
      <x:c r="AA6" s="2"/>
      <x:c r="AB6" s="2"/>
      <x:c r="AC6" s="2"/>
      <x:c r="AD6" s="2"/>
      <x:c r="AE6" s="2"/>
    </x:row>
    <x:row r="7" ht="23" customHeight="1">
      <x:c r="C7" s="2"/>
      <x:c r="D7" s="2"/>
      <x:c r="E7" s="2"/>
      <x:c r="F7" s="2"/>
      <x:c r="G7" s="2"/>
      <x:c r="H7" s="2"/>
      <x:c r="I7" s="2"/>
      <x:c r="J7" s="2"/>
      <x:c r="K7" s="2"/>
      <x:c r="L7" s="2"/>
      <x:c r="M7" s="2"/>
      <x:c r="N7" s="2"/>
      <x:c r="O7" s="2"/>
      <x:c r="P7" s="2"/>
      <x:c r="Q7" s="2"/>
      <x:c r="R7" s="2"/>
      <x:c r="S7" s="2"/>
      <x:c r="T7" s="2"/>
      <x:c r="U7" s="2"/>
      <x:c r="V7" s="2"/>
      <x:c r="W7" s="2"/>
      <x:c r="X7" s="2"/>
      <x:c r="Y7" s="2"/>
      <x:c r="Z7" s="2"/>
      <x:c r="AA7" s="2"/>
      <x:c r="AB7" s="2"/>
      <x:c r="AC7" s="2"/>
      <x:c r="AD7" s="2"/>
      <x:c r="AE7" s="2"/>
    </x:row>
    <x:row r="8" ht="24" customHeight="1">
      <x:c r="C8" s="8" t="str">
        <x:v>Pooled LP returns</x:v>
      </x:c>
      <x:c r="D8" s="8"/>
      <x:c r="E8" s="8"/>
      <x:c r="F8" s="2"/>
      <x:c r="G8" s="8" t="str">
        <x:v>Individual LP illustration</x:v>
      </x:c>
      <x:c r="H8" s="8"/>
      <x:c r="I8" s="8"/>
      <x:c r="J8" s="8"/>
      <x:c r="K8" s="2"/>
      <x:c r="L8" s="8" t="str">
        <x:v>GP / sponsor economics</x:v>
      </x:c>
      <x:c r="M8" s="8"/>
      <x:c r="N8" s="8"/>
      <x:c r="O8" s="8"/>
      <x:c r="P8" s="2"/>
      <x:c r="Q8" s="2"/>
      <x:c r="R8" s="2"/>
      <x:c r="S8" s="2"/>
      <x:c r="T8" s="2"/>
      <x:c r="U8" s="2"/>
      <x:c r="V8" s="2"/>
      <x:c r="W8" s="2"/>
      <x:c r="X8" s="2"/>
      <x:c r="Y8" s="2"/>
      <x:c r="Z8" s="2"/>
      <x:c r="AA8" s="2"/>
      <x:c r="AB8" s="2"/>
      <x:c r="AC8" s="2"/>
      <x:c r="AD8" s="2"/>
      <x:c r="AE8" s="2"/>
    </x:row>
    <x:row r="9" ht="23" customHeight="1">
      <x:c r="C9" s="2" t="str">
        <x:v>LP initial capital</x:v>
      </x:c>
      <x:c r="D9" s="2"/>
      <x:c r="E9" s="35" t="str">
        <x:f>IF('Inputs'!$E$56="On",'Property Model'!E14*'Inputs'!$E$57,"n.a.")</x:f>
        <x:v>n.a.</x:v>
      </x:c>
      <x:c r="F9" s="2"/>
      <x:c r="G9" s="2" t="str">
        <x:v>Individual initial capital</x:v>
      </x:c>
      <x:c r="H9" s="2"/>
      <x:c r="I9" s="2"/>
      <x:c r="J9" s="35" t="str">
        <x:f>IF('Inputs'!$E$56="On",'Inputs'!$E$60,"n.a.")</x:f>
        <x:v>n.a.</x:v>
      </x:c>
      <x:c r="K9" s="2"/>
      <x:c r="L9" s="2" t="str">
        <x:v>GP capital contributed</x:v>
      </x:c>
      <x:c r="M9" s="2"/>
      <x:c r="N9" s="2"/>
      <x:c r="O9" s="35" t="str">
        <x:f>IF('Inputs'!$E$56="On",SUM(AC26:AC56),"n.a.")</x:f>
        <x:v>n.a.</x:v>
      </x:c>
      <x:c r="P9" s="2"/>
      <x:c r="Q9" s="2"/>
      <x:c r="R9" s="2"/>
      <x:c r="S9" s="2"/>
      <x:c r="T9" s="2"/>
      <x:c r="U9" s="2"/>
      <x:c r="V9" s="2"/>
      <x:c r="W9" s="2"/>
      <x:c r="X9" s="2"/>
      <x:c r="Y9" s="2"/>
      <x:c r="Z9" s="2"/>
      <x:c r="AA9" s="2"/>
      <x:c r="AB9" s="2"/>
      <x:c r="AC9" s="2"/>
      <x:c r="AD9" s="2"/>
      <x:c r="AE9" s="2"/>
    </x:row>
    <x:row r="10" ht="23" customHeight="1">
      <x:c r="C10" s="2" t="str">
        <x:v>GP initial capital</x:v>
      </x:c>
      <x:c r="D10" s="2"/>
      <x:c r="E10" s="35" t="str">
        <x:f>IF('Inputs'!$E$56="On",'Property Model'!E14*(1-'Inputs'!$E$57),"n.a.")</x:f>
        <x:v>n.a.</x:v>
      </x:c>
      <x:c r="F10" s="2"/>
      <x:c r="G10" s="38" t="str">
        <x:v>Share of the LP capital pool</x:v>
      </x:c>
      <x:c r="H10" s="2"/>
      <x:c r="I10" s="2"/>
      <x:c r="J10" s="39" t="str">
        <x:f>IF('Inputs'!$E$56="On",IF(AND(E9&gt;0,'Inputs'!$E$60&lt;=E9),'Inputs'!$E$60/E9,"n.a."),"n.a.")</x:f>
        <x:v>n.a.</x:v>
      </x:c>
      <x:c r="K10" s="2"/>
      <x:c r="L10" s="2" t="str">
        <x:v>GP operating distributions</x:v>
      </x:c>
      <x:c r="M10" s="2"/>
      <x:c r="N10" s="2"/>
      <x:c r="O10" s="35" t="str">
        <x:f>IF('Inputs'!$E$56="On",SUM(S27:S56),"n.a.")</x:f>
        <x:v>n.a.</x:v>
      </x:c>
      <x:c r="P10" s="2"/>
      <x:c r="Q10" s="2"/>
      <x:c r="R10" s="2"/>
      <x:c r="S10" s="2"/>
      <x:c r="T10" s="2"/>
      <x:c r="U10" s="2"/>
      <x:c r="V10" s="2"/>
      <x:c r="W10" s="2"/>
      <x:c r="X10" s="2"/>
      <x:c r="Y10" s="2"/>
      <x:c r="Z10" s="2"/>
      <x:c r="AA10" s="2"/>
      <x:c r="AB10" s="2"/>
      <x:c r="AC10" s="2"/>
      <x:c r="AD10" s="2"/>
      <x:c r="AE10" s="2"/>
    </x:row>
    <x:row r="11" ht="23" customHeight="1">
      <x:c r="C11" s="38" t="str">
        <x:v>LP ownership / funding share</x:v>
      </x:c>
      <x:c r="D11" s="2"/>
      <x:c r="E11" s="39" t="str">
        <x:f>IF('Inputs'!$E$56="On",'Inputs'!$E$57,"n.a.")</x:f>
        <x:v>n.a.</x:v>
      </x:c>
      <x:c r="F11" s="2"/>
      <x:c r="G11" s="2"/>
      <x:c r="H11" s="2"/>
      <x:c r="I11" s="2"/>
      <x:c r="J11" s="2"/>
      <x:c r="K11" s="2"/>
      <x:c r="L11" s="2" t="str">
        <x:v>GP exit distributions</x:v>
      </x:c>
      <x:c r="M11" s="2"/>
      <x:c r="N11" s="2"/>
      <x:c r="O11" s="35" t="str">
        <x:f>IF('Inputs'!$E$56="On",E78,"n.a.")</x:f>
        <x:v>n.a.</x:v>
      </x:c>
      <x:c r="P11" s="2"/>
      <x:c r="Q11" s="2"/>
      <x:c r="R11" s="2"/>
      <x:c r="S11" s="2"/>
      <x:c r="T11" s="2"/>
      <x:c r="U11" s="2"/>
      <x:c r="V11" s="2"/>
      <x:c r="W11" s="2"/>
      <x:c r="X11" s="2"/>
      <x:c r="Y11" s="2"/>
      <x:c r="Z11" s="2"/>
      <x:c r="AA11" s="2"/>
      <x:c r="AB11" s="2"/>
      <x:c r="AC11" s="2"/>
      <x:c r="AD11" s="2"/>
      <x:c r="AE11" s="2"/>
    </x:row>
    <x:row r="12" ht="23" customHeight="1">
      <x:c r="C12" s="38" t="str">
        <x:v>GP ownership / funding share</x:v>
      </x:c>
      <x:c r="D12" s="2"/>
      <x:c r="E12" s="39" t="str">
        <x:f>IF('Inputs'!$E$56="On",1-'Inputs'!$E$57,"n.a.")</x:f>
        <x:v>n.a.</x:v>
      </x:c>
      <x:c r="F12" s="2"/>
      <x:c r="G12" s="2" t="str">
        <x:v>Total individual capital</x:v>
      </x:c>
      <x:c r="H12" s="2"/>
      <x:c r="I12" s="2"/>
      <x:c r="J12" s="35" t="str">
        <x:f>IF('Inputs'!$E$56="On",IF(ISNUMBER($J$10),E15*$J$10,"n.a."),"n.a.")</x:f>
        <x:v>n.a.</x:v>
      </x:c>
      <x:c r="K12" s="2"/>
      <x:c r="L12" s="2" t="str">
        <x:v>GP equity distributions</x:v>
      </x:c>
      <x:c r="M12" s="2"/>
      <x:c r="N12" s="2"/>
      <x:c r="O12" s="35" t="str">
        <x:f>IF('Inputs'!$E$56="On",SUM(AD26:AD56),"n.a.")</x:f>
        <x:v>n.a.</x:v>
      </x:c>
      <x:c r="P12" s="2"/>
      <x:c r="Q12" s="2"/>
      <x:c r="R12" s="2"/>
      <x:c r="S12" s="2"/>
      <x:c r="T12" s="2"/>
      <x:c r="U12" s="2"/>
      <x:c r="V12" s="2"/>
      <x:c r="W12" s="2"/>
      <x:c r="X12" s="2"/>
      <x:c r="Y12" s="2"/>
      <x:c r="Z12" s="2"/>
      <x:c r="AA12" s="2"/>
      <x:c r="AB12" s="2"/>
      <x:c r="AC12" s="2"/>
      <x:c r="AD12" s="2"/>
      <x:c r="AE12" s="2"/>
    </x:row>
    <x:row r="13" ht="23" customHeight="1">
      <x:c r="C13" s="38" t="str">
        <x:v>LP residual-profit share</x:v>
      </x:c>
      <x:c r="D13" s="2"/>
      <x:c r="E13" s="39" t="str">
        <x:f>IF('Inputs'!$E$56="On",'Inputs'!$E$57*(1-'Inputs'!$E$58),"n.a.")</x:f>
        <x:v>n.a.</x:v>
      </x:c>
      <x:c r="F13" s="2"/>
      <x:c r="G13" s="2" t="str">
        <x:v>Individual extra capital calls</x:v>
      </x:c>
      <x:c r="H13" s="2"/>
      <x:c r="I13" s="2"/>
      <x:c r="J13" s="35" t="str">
        <x:f>IF('Inputs'!$E$56="On",IF(ISNUMBER($J$10),J12-J9,"n.a."),"n.a.")</x:f>
        <x:v>n.a.</x:v>
      </x:c>
      <x:c r="K13" s="2"/>
      <x:c r="L13" s="2" t="str">
        <x:v>GP equity profit</x:v>
      </x:c>
      <x:c r="M13" s="2"/>
      <x:c r="N13" s="2"/>
      <x:c r="O13" s="35" t="str">
        <x:f>IF('Inputs'!$E$56="On",O12-O9,"n.a.")</x:f>
        <x:v>n.a.</x:v>
      </x:c>
      <x:c r="P13" s="2"/>
      <x:c r="Q13" s="2"/>
      <x:c r="R13" s="2"/>
      <x:c r="S13" s="2"/>
      <x:c r="T13" s="2"/>
      <x:c r="U13" s="2"/>
      <x:c r="V13" s="2"/>
      <x:c r="W13" s="2"/>
      <x:c r="X13" s="2"/>
      <x:c r="Y13" s="2"/>
      <x:c r="Z13" s="2"/>
      <x:c r="AA13" s="2"/>
      <x:c r="AB13" s="2"/>
      <x:c r="AC13" s="2"/>
      <x:c r="AD13" s="2"/>
      <x:c r="AE13" s="2"/>
    </x:row>
    <x:row r="14" ht="23" customHeight="1">
      <x:c r="C14" s="38" t="str">
        <x:v>GP residual-profit share</x:v>
      </x:c>
      <x:c r="D14" s="2"/>
      <x:c r="E14" s="39" t="str">
        <x:f>IF('Inputs'!$E$56="On",1-E13,"n.a.")</x:f>
        <x:v>n.a.</x:v>
      </x:c>
      <x:c r="F14" s="2"/>
      <x:c r="G14" s="2" t="str">
        <x:v>Individual operating cash</x:v>
      </x:c>
      <x:c r="H14" s="2"/>
      <x:c r="I14" s="2"/>
      <x:c r="J14" s="35" t="str">
        <x:f>IF('Inputs'!$E$56="On",IF(ISNUMBER($J$10),E16*$J$10,"n.a."),"n.a.")</x:f>
        <x:v>n.a.</x:v>
      </x:c>
      <x:c r="K14" s="2"/>
      <x:c r="L14" s="2" t="str">
        <x:v>Gross sponsor fees</x:v>
      </x:c>
      <x:c r="M14" s="2"/>
      <x:c r="N14" s="2"/>
      <x:c r="O14" s="35" t="str">
        <x:f>IF('Inputs'!$E$56="On",'Property Model'!E11+'Property Model'!E47+SUM(AE27:AE56),"n.a.")</x:f>
        <x:v>n.a.</x:v>
      </x:c>
      <x:c r="P14" s="2"/>
      <x:c r="Q14" s="2"/>
      <x:c r="R14" s="2"/>
      <x:c r="S14" s="2"/>
      <x:c r="T14" s="2"/>
      <x:c r="U14" s="2"/>
      <x:c r="V14" s="2"/>
      <x:c r="W14" s="2"/>
      <x:c r="X14" s="2"/>
      <x:c r="Y14" s="2"/>
      <x:c r="Z14" s="2"/>
      <x:c r="AA14" s="2"/>
      <x:c r="AB14" s="2"/>
      <x:c r="AC14" s="2"/>
      <x:c r="AD14" s="2"/>
      <x:c r="AE14" s="2"/>
    </x:row>
    <x:row r="15" ht="23" customHeight="1">
      <x:c r="C15" s="52" t="str">
        <x:v>Total LP capital contributed</x:v>
      </x:c>
      <x:c r="D15" s="52"/>
      <x:c r="E15" s="53" t="str">
        <x:f>IF('Inputs'!$E$56="On",SUM(AA26:AA56),"n.a.")</x:f>
        <x:v>n.a.</x:v>
      </x:c>
      <x:c r="F15" s="2"/>
      <x:c r="G15" s="2" t="str">
        <x:v>Individual exit distributions</x:v>
      </x:c>
      <x:c r="H15" s="2"/>
      <x:c r="I15" s="2"/>
      <x:c r="J15" s="35" t="str">
        <x:f>IF('Inputs'!$E$56="On",IF(ISNUMBER($J$10),E17*$J$10,"n.a."),"n.a.")</x:f>
        <x:v>n.a.</x:v>
      </x:c>
      <x:c r="K15" s="2"/>
      <x:c r="L15" s="2" t="str">
        <x:v>GP profit + gross fees</x:v>
      </x:c>
      <x:c r="M15" s="2"/>
      <x:c r="N15" s="2"/>
      <x:c r="O15" s="35" t="str">
        <x:f>IF('Inputs'!$E$56="On",SUM(O13:O14),"n.a.")</x:f>
        <x:v>n.a.</x:v>
      </x:c>
      <x:c r="P15" s="2"/>
      <x:c r="Q15" s="2"/>
      <x:c r="R15" s="2"/>
      <x:c r="S15" s="2"/>
      <x:c r="T15" s="2"/>
      <x:c r="U15" s="2"/>
      <x:c r="V15" s="2"/>
      <x:c r="W15" s="2"/>
      <x:c r="X15" s="2"/>
      <x:c r="Y15" s="2"/>
      <x:c r="Z15" s="2"/>
      <x:c r="AA15" s="2"/>
      <x:c r="AB15" s="2"/>
      <x:c r="AC15" s="2"/>
      <x:c r="AD15" s="2"/>
      <x:c r="AE15" s="2"/>
    </x:row>
    <x:row r="16" ht="23" customHeight="1">
      <x:c r="C16" s="2" t="str">
        <x:v>LP operating distributions</x:v>
      </x:c>
      <x:c r="D16" s="2"/>
      <x:c r="E16" s="35" t="str">
        <x:f>IF('Inputs'!$E$56="On",SUM(R27:R56),"n.a.")</x:f>
        <x:v>n.a.</x:v>
      </x:c>
      <x:c r="F16" s="2"/>
      <x:c r="G16" s="2" t="str">
        <x:v>Total individual distributions</x:v>
      </x:c>
      <x:c r="H16" s="2"/>
      <x:c r="I16" s="2"/>
      <x:c r="J16" s="35" t="str">
        <x:f>IF('Inputs'!$E$56="On",IF(ISNUMBER($J$10),E18*$J$10,"n.a."),"n.a.")</x:f>
        <x:v>n.a.</x:v>
      </x:c>
      <x:c r="K16" s="2"/>
      <x:c r="L16" s="2"/>
      <x:c r="M16" s="2"/>
      <x:c r="N16" s="2"/>
      <x:c r="O16" s="2"/>
      <x:c r="P16" s="2"/>
      <x:c r="Q16" s="2"/>
      <x:c r="R16" s="2"/>
      <x:c r="S16" s="2"/>
      <x:c r="T16" s="2"/>
      <x:c r="U16" s="2"/>
      <x:c r="V16" s="2"/>
      <x:c r="W16" s="2"/>
      <x:c r="X16" s="2"/>
      <x:c r="Y16" s="2"/>
      <x:c r="Z16" s="2"/>
      <x:c r="AA16" s="2"/>
      <x:c r="AB16" s="2"/>
      <x:c r="AC16" s="2"/>
      <x:c r="AD16" s="2"/>
      <x:c r="AE16" s="2"/>
    </x:row>
    <x:row r="17" ht="23" customHeight="1">
      <x:c r="C17" s="2" t="str">
        <x:v>LP exit distributions</x:v>
      </x:c>
      <x:c r="D17" s="2"/>
      <x:c r="E17" s="35" t="str">
        <x:f>IF('Inputs'!$E$56="On",E77,"n.a.")</x:f>
        <x:v>n.a.</x:v>
      </x:c>
      <x:c r="F17" s="2"/>
      <x:c r="G17" s="2" t="str">
        <x:v>Individual profit</x:v>
      </x:c>
      <x:c r="H17" s="2"/>
      <x:c r="I17" s="2"/>
      <x:c r="J17" s="35" t="str">
        <x:f>IF('Inputs'!$E$56="On",IF(ISNUMBER($J$10),J16-J12,"n.a."),"n.a.")</x:f>
        <x:v>n.a.</x:v>
      </x:c>
      <x:c r="K17" s="2"/>
      <x:c r="L17" s="2" t="str">
        <x:v>Unpaid LP preference at exit</x:v>
      </x:c>
      <x:c r="M17" s="2"/>
      <x:c r="N17" s="2"/>
      <x:c r="O17" s="35" t="str">
        <x:f>IF('Inputs'!$E$56="On",E80,"n.a.")</x:f>
        <x:v>n.a.</x:v>
      </x:c>
      <x:c r="P17" s="2"/>
      <x:c r="Q17" s="2"/>
      <x:c r="R17" s="2"/>
      <x:c r="S17" s="2"/>
      <x:c r="T17" s="2"/>
      <x:c r="U17" s="2"/>
      <x:c r="V17" s="2"/>
      <x:c r="W17" s="2"/>
      <x:c r="X17" s="2"/>
      <x:c r="Y17" s="2"/>
      <x:c r="Z17" s="2"/>
      <x:c r="AA17" s="2"/>
      <x:c r="AB17" s="2"/>
      <x:c r="AC17" s="2"/>
      <x:c r="AD17" s="2"/>
      <x:c r="AE17" s="2"/>
    </x:row>
    <x:row r="18" ht="23" customHeight="1">
      <x:c r="C18" s="52" t="str">
        <x:v>Total LP distributions</x:v>
      </x:c>
      <x:c r="D18" s="52"/>
      <x:c r="E18" s="53" t="str">
        <x:f>IF('Inputs'!$E$56="On",SUM(AB26:AB56),"n.a.")</x:f>
        <x:v>n.a.</x:v>
      </x:c>
      <x:c r="F18" s="2"/>
      <x:c r="G18" s="38" t="str">
        <x:v>Individual total return</x:v>
      </x:c>
      <x:c r="H18" s="2"/>
      <x:c r="I18" s="2"/>
      <x:c r="J18" s="39" t="str">
        <x:f>IF('Inputs'!$E$56="On",IF(ISNUMBER($J$10),IF(J12=0,"n.a.",J17/J12),"n.a."),"n.a.")</x:f>
        <x:v>n.a.</x:v>
      </x:c>
      <x:c r="K18" s="2"/>
      <x:c r="L18" s="2" t="str">
        <x:v>LP capital not returned</x:v>
      </x:c>
      <x:c r="M18" s="2"/>
      <x:c r="N18" s="2"/>
      <x:c r="O18" s="35" t="str">
        <x:f>IF('Inputs'!$E$56="On",E81,"n.a.")</x:f>
        <x:v>n.a.</x:v>
      </x:c>
      <x:c r="P18" s="2"/>
      <x:c r="Q18" s="2"/>
      <x:c r="R18" s="2"/>
      <x:c r="S18" s="2"/>
      <x:c r="T18" s="2"/>
      <x:c r="U18" s="2"/>
      <x:c r="V18" s="2"/>
      <x:c r="W18" s="2"/>
      <x:c r="X18" s="2"/>
      <x:c r="Y18" s="2"/>
      <x:c r="Z18" s="2"/>
      <x:c r="AA18" s="2"/>
      <x:c r="AB18" s="2"/>
      <x:c r="AC18" s="2"/>
      <x:c r="AD18" s="2"/>
      <x:c r="AE18" s="2"/>
    </x:row>
    <x:row r="19" ht="23" customHeight="1">
      <x:c r="C19" s="52" t="str">
        <x:v>LP profit</x:v>
      </x:c>
      <x:c r="D19" s="52"/>
      <x:c r="E19" s="53" t="str">
        <x:f>IF('Inputs'!$E$56="On",E18-E15,"n.a.")</x:f>
        <x:v>n.a.</x:v>
      </x:c>
      <x:c r="F19" s="2"/>
      <x:c r="G19" s="38" t="str">
        <x:v>Individual annual IRR</x:v>
      </x:c>
      <x:c r="H19" s="2"/>
      <x:c r="I19" s="2"/>
      <x:c r="J19" s="39" t="str">
        <x:f>IF('Inputs'!$E$56="On",IF(ISNUMBER($J$10),IF(J9=0,"n.a.",E22),"n.a."),"n.a.")</x:f>
        <x:v>n.a.</x:v>
      </x:c>
      <x:c r="K19" s="2"/>
      <x:c r="L19" s="2" t="str">
        <x:v>GP capital not returned</x:v>
      </x:c>
      <x:c r="M19" s="2"/>
      <x:c r="N19" s="2"/>
      <x:c r="O19" s="35" t="str">
        <x:f>IF('Inputs'!$E$56="On",E82,"n.a.")</x:f>
        <x:v>n.a.</x:v>
      </x:c>
      <x:c r="P19" s="2"/>
      <x:c r="Q19" s="2"/>
      <x:c r="R19" s="2"/>
      <x:c r="S19" s="2"/>
      <x:c r="T19" s="2"/>
      <x:c r="U19" s="2"/>
      <x:c r="V19" s="2"/>
      <x:c r="W19" s="2"/>
      <x:c r="X19" s="2"/>
      <x:c r="Y19" s="2"/>
      <x:c r="Z19" s="2"/>
      <x:c r="AA19" s="2"/>
      <x:c r="AB19" s="2"/>
      <x:c r="AC19" s="2"/>
      <x:c r="AD19" s="2"/>
      <x:c r="AE19" s="2"/>
    </x:row>
    <x:row r="20" ht="23" customHeight="1">
      <x:c r="C20" s="38" t="str">
        <x:v>LP total return</x:v>
      </x:c>
      <x:c r="D20" s="2"/>
      <x:c r="E20" s="39" t="str">
        <x:f>IF('Inputs'!$E$56="On",IF(E15=0,"n.a.",E19/E15),"n.a.")</x:f>
        <x:v>n.a.</x:v>
      </x:c>
      <x:c r="F20" s="2"/>
      <x:c r="G20" s="2"/>
      <x:c r="H20" s="2"/>
      <x:c r="I20" s="2"/>
      <x:c r="J20" s="2"/>
      <x:c r="K20" s="2"/>
      <x:c r="L20" s="2"/>
      <x:c r="M20" s="2"/>
      <x:c r="N20" s="2"/>
      <x:c r="O20" s="2"/>
      <x:c r="P20" s="2"/>
      <x:c r="Q20" s="2"/>
      <x:c r="R20" s="2"/>
      <x:c r="S20" s="2"/>
      <x:c r="T20" s="2"/>
      <x:c r="U20" s="2"/>
      <x:c r="V20" s="2"/>
      <x:c r="W20" s="2"/>
      <x:c r="X20" s="2"/>
      <x:c r="Y20" s="2"/>
      <x:c r="Z20" s="2"/>
      <x:c r="AA20" s="2"/>
      <x:c r="AB20" s="2"/>
      <x:c r="AC20" s="2"/>
      <x:c r="AD20" s="2"/>
      <x:c r="AE20" s="2"/>
    </x:row>
    <x:row r="21" ht="27" customHeight="1">
      <x:c r="C21" s="38" t="str">
        <x:v>LP distribution multiple</x:v>
      </x:c>
      <x:c r="D21" s="2"/>
      <x:c r="E21" s="42" t="str">
        <x:f>IF('Inputs'!$E$56="On",IF(E15=0,"n.a.",E18/E15),"n.a.")</x:f>
        <x:v>n.a.</x:v>
      </x:c>
      <x:c r="F21" s="2"/>
      <x:c r="G21" s="2" t="str">
        <x:v>Individual investment review</x:v>
      </x:c>
      <x:c r="H21" s="2"/>
      <x:c r="I21" s="2"/>
      <x:c r="J21" s="29" t="str">
        <x:f>IF('Inputs'!$E$56="On",IF(AND('Inputs'!$E$60&gt;=0,'Inputs'!$E$60&lt;=E9),"Within LP pool","Needs Attention"),"n.a.")</x:f>
        <x:v>n.a.</x:v>
      </x:c>
      <x:c r="K21" s="2"/>
      <x:c r="L21" s="6" t="str">
        <x:v>Sponsor fees are gross receipts before sponsor expenses and taxes. They are already deducted from property cash flows and must not be added to LP returns.</x:v>
      </x:c>
      <x:c r="M21" s="6"/>
      <x:c r="N21" s="6"/>
      <x:c r="O21" s="6"/>
      <x:c r="P21" s="6"/>
      <x:c r="Q21" s="6"/>
      <x:c r="R21" s="6"/>
      <x:c r="S21" s="6"/>
      <x:c r="T21" s="2"/>
      <x:c r="U21" s="2"/>
      <x:c r="V21" s="2"/>
      <x:c r="W21" s="2"/>
      <x:c r="X21" s="2"/>
      <x:c r="Y21" s="2"/>
      <x:c r="Z21" s="2"/>
      <x:c r="AA21" s="2"/>
      <x:c r="AB21" s="2"/>
      <x:c r="AC21" s="2"/>
      <x:c r="AD21" s="2"/>
      <x:c r="AE21" s="2"/>
    </x:row>
    <x:row r="22" ht="27" customHeight="1">
      <x:c r="C22" s="58" t="str">
        <x:v>LP annualized return (IRR)</x:v>
      </x:c>
      <x:c r="D22" s="52"/>
      <x:c r="E22" s="74" t="str">
        <x:f>IF('Inputs'!$E$56="On",IF(AND(SUM(X26:X56)=1,MIN(V26:V56)&lt;0,MAX(V26:V56)&gt;0,V26&lt;0),IF('Inputs'!$E$45=1,V27/-V26-1,IF(J86=1,H86,IF(J87=1,H87,"n.a."))),"n.a."),"n.a.")</x:f>
        <x:v>n.a.</x:v>
      </x:c>
      <x:c r="F22" s="2"/>
      <x:c r="G22" s="2"/>
      <x:c r="H22" s="2"/>
      <x:c r="I22" s="2"/>
      <x:c r="J22" s="2"/>
      <x:c r="K22" s="2"/>
      <x:c r="L22" s="6"/>
      <x:c r="M22" s="6"/>
      <x:c r="N22" s="6"/>
      <x:c r="O22" s="6"/>
      <x:c r="P22" s="6"/>
      <x:c r="Q22" s="6"/>
      <x:c r="R22" s="6"/>
      <x:c r="S22" s="6"/>
      <x:c r="T22" s="2"/>
      <x:c r="U22" s="2"/>
      <x:c r="V22" s="2"/>
      <x:c r="W22" s="2"/>
      <x:c r="X22" s="2"/>
      <x:c r="Y22" s="2"/>
      <x:c r="Z22" s="2"/>
      <x:c r="AA22" s="2"/>
      <x:c r="AB22" s="2"/>
      <x:c r="AC22" s="2"/>
      <x:c r="AD22" s="2"/>
      <x:c r="AE22" s="2"/>
    </x:row>
    <x:row r="23" ht="23" customHeight="1">
      <x:c r="C23" s="2"/>
      <x:c r="D23" s="2"/>
      <x:c r="E23" s="2"/>
      <x:c r="F23" s="2"/>
      <x:c r="G23" s="2"/>
      <x:c r="H23" s="2"/>
      <x:c r="I23" s="2"/>
      <x:c r="J23" s="2"/>
      <x:c r="K23" s="2"/>
      <x:c r="L23" s="2"/>
      <x:c r="M23" s="2"/>
      <x:c r="N23" s="2"/>
      <x:c r="O23" s="2"/>
      <x:c r="P23" s="2"/>
      <x:c r="Q23" s="2"/>
      <x:c r="R23" s="2"/>
      <x:c r="S23" s="2"/>
      <x:c r="T23" s="2"/>
      <x:c r="U23" s="2"/>
      <x:c r="V23" s="2"/>
      <x:c r="W23" s="2"/>
      <x:c r="X23" s="2"/>
      <x:c r="Y23" s="2"/>
      <x:c r="Z23" s="2"/>
      <x:c r="AA23" s="2"/>
      <x:c r="AB23" s="2"/>
      <x:c r="AC23" s="2"/>
      <x:c r="AD23" s="2"/>
      <x:c r="AE23" s="2"/>
    </x:row>
    <x:row r="24" ht="31" customHeight="1">
      <x:c r="C24" s="6" t="str">
        <x:v>Operating cash first pays accrued LP preference. Remaining operating profit is split by E13 / E14. Negative cash flow is funded by LP/GP capital calls at year-end.</x:v>
      </x:c>
      <x:c r="D24" s="6"/>
      <x:c r="E24" s="6"/>
      <x:c r="F24" s="6"/>
      <x:c r="G24" s="6"/>
      <x:c r="H24" s="6"/>
      <x:c r="I24" s="6"/>
      <x:c r="J24" s="6"/>
      <x:c r="K24" s="6"/>
      <x:c r="L24" s="6"/>
      <x:c r="M24" s="6"/>
      <x:c r="N24" s="6"/>
      <x:c r="O24" s="6"/>
      <x:c r="P24" s="6"/>
      <x:c r="Q24" s="6"/>
      <x:c r="R24" s="6"/>
      <x:c r="S24" s="6"/>
      <x:c r="T24" s="2"/>
      <x:c r="U24" s="2"/>
      <x:c r="V24" s="2"/>
      <x:c r="W24" s="2"/>
      <x:c r="X24" s="2"/>
      <x:c r="Y24" s="2"/>
      <x:c r="Z24" s="2"/>
      <x:c r="AA24" s="2"/>
      <x:c r="AB24" s="2"/>
      <x:c r="AC24" s="2"/>
      <x:c r="AD24" s="2"/>
      <x:c r="AE24" s="2"/>
    </x:row>
    <x:row r="25" ht="54" customHeight="1">
      <x:c r="C25" s="15" t="str">
        <x:v>Year</x:v>
      </x:c>
      <x:c r="D25" s="16" t="str">
        <x:v>Owner CF</x:v>
      </x:c>
      <x:c r="E25" s="16" t="str">
        <x:v>LP call</x:v>
      </x:c>
      <x:c r="F25" s="16" t="str">
        <x:v>GP call</x:v>
      </x:c>
      <x:c r="G25" s="16" t="str">
        <x:v>LP capital start</x:v>
      </x:c>
      <x:c r="H25" s="16" t="str">
        <x:v>Pref. brought forward</x:v>
      </x:c>
      <x:c r="I25" s="16" t="str">
        <x:v>Pref. earned</x:v>
      </x:c>
      <x:c r="J25" s="16" t="str">
        <x:v>Cash available</x:v>
      </x:c>
      <x:c r="K25" s="16" t="str">
        <x:v>Pref. paid</x:v>
      </x:c>
      <x:c r="L25" s="16" t="str">
        <x:v>Residual profit</x:v>
      </x:c>
      <x:c r="M25" s="16" t="str">
        <x:v>LP residual</x:v>
      </x:c>
      <x:c r="N25" s="16" t="str">
        <x:v>GP residual</x:v>
      </x:c>
      <x:c r="O25" s="16" t="str">
        <x:v>Pref. carried</x:v>
      </x:c>
      <x:c r="P25" s="16" t="str">
        <x:v>LP capital end</x:v>
      </x:c>
      <x:c r="Q25" s="16" t="str">
        <x:v>GP capital end</x:v>
      </x:c>
      <x:c r="R25" s="16" t="str">
        <x:v>LP operating dist.</x:v>
      </x:c>
      <x:c r="S25" s="17" t="str">
        <x:v>GP operating dist.</x:v>
      </x:c>
      <x:c r="T25" s="2"/>
      <x:c r="U25" s="15" t="str">
        <x:v>Year</x:v>
      </x:c>
      <x:c r="V25" s="16" t="str">
        <x:v>LP net CF</x:v>
      </x:c>
      <x:c r="W25" s="16" t="str">
        <x:v>Last sign</x:v>
      </x:c>
      <x:c r="X25" s="16" t="str">
        <x:v>Sign change</x:v>
      </x:c>
      <x:c r="Y25" s="16" t="str">
        <x:v>LP exit cash</x:v>
      </x:c>
      <x:c r="Z25" s="16" t="str">
        <x:v>GP exit cash</x:v>
      </x:c>
      <x:c r="AA25" s="16" t="str">
        <x:v>LP capital in</x:v>
      </x:c>
      <x:c r="AB25" s="16" t="str">
        <x:v>LP cash out</x:v>
      </x:c>
      <x:c r="AC25" s="16" t="str">
        <x:v>GP capital in</x:v>
      </x:c>
      <x:c r="AD25" s="16" t="str">
        <x:v>GP cash out</x:v>
      </x:c>
      <x:c r="AE25" s="17" t="str">
        <x:v>Annual sponsor fee</x:v>
      </x:c>
    </x:row>
    <x:row r="26" ht="23" customHeight="1">
      <x:c r="C26" s="47" t="n">
        <x:v>0</x:v>
      </x:c>
      <x:c r="D26" s="35" t="n">
        <x:v>0</x:v>
      </x:c>
      <x:c r="E26" s="35" t="n">
        <x:v>0</x:v>
      </x:c>
      <x:c r="F26" s="35" t="n">
        <x:v>0</x:v>
      </x:c>
      <x:c r="G26" s="33" t="n">
        <x:f>IF('Inputs'!$E$56="On",'Property Model'!E14*'Inputs'!$E$57,0)</x:f>
        <x:v>0</x:v>
      </x:c>
      <x:c r="H26" s="35" t="n">
        <x:v>0</x:v>
      </x:c>
      <x:c r="I26" s="35" t="n">
        <x:v>0</x:v>
      </x:c>
      <x:c r="J26" s="35" t="n">
        <x:v>0</x:v>
      </x:c>
      <x:c r="K26" s="35" t="n">
        <x:v>0</x:v>
      </x:c>
      <x:c r="L26" s="35" t="n">
        <x:v>0</x:v>
      </x:c>
      <x:c r="M26" s="35" t="n">
        <x:v>0</x:v>
      </x:c>
      <x:c r="N26" s="35" t="n">
        <x:v>0</x:v>
      </x:c>
      <x:c r="O26" s="35" t="n">
        <x:v>0</x:v>
      </x:c>
      <x:c r="P26" s="35" t="n">
        <x:f>G26</x:f>
        <x:v>0</x:v>
      </x:c>
      <x:c r="Q26" s="33" t="n">
        <x:f>IF('Inputs'!$E$56="On",'Property Model'!E14*(1-'Inputs'!$E$57),0)</x:f>
        <x:v>0</x:v>
      </x:c>
      <x:c r="R26" s="35" t="n">
        <x:v>0</x:v>
      </x:c>
      <x:c r="S26" s="35" t="n">
        <x:v>0</x:v>
      </x:c>
      <x:c r="T26" s="2"/>
      <x:c r="U26" s="71" t="n">
        <x:v>0</x:v>
      </x:c>
      <x:c r="V26" s="33" t="n">
        <x:f>IF('Inputs'!$E$56="On",-E9,0)</x:f>
        <x:v>0</x:v>
      </x:c>
      <x:c r="W26" s="71" t="n">
        <x:f>IF(V26=0,0,SIGN(V26))</x:f>
        <x:v>0</x:v>
      </x:c>
      <x:c r="X26" s="71" t="n">
        <x:v>0</x:v>
      </x:c>
      <x:c r="Y26" s="35" t="n">
        <x:v>0</x:v>
      </x:c>
      <x:c r="Z26" s="35" t="n">
        <x:v>0</x:v>
      </x:c>
      <x:c r="AA26" s="33" t="n">
        <x:f>IF('Inputs'!$E$56="On",E9,0)</x:f>
        <x:v>0</x:v>
      </x:c>
      <x:c r="AB26" s="35" t="n">
        <x:v>0</x:v>
      </x:c>
      <x:c r="AC26" s="33" t="n">
        <x:f>IF('Inputs'!$E$56="On",E10,0)</x:f>
        <x:v>0</x:v>
      </x:c>
      <x:c r="AD26" s="35" t="n">
        <x:v>0</x:v>
      </x:c>
      <x:c r="AE26" s="35" t="n">
        <x:v>0</x:v>
      </x:c>
    </x:row>
    <x:row r="27" ht="23" customHeight="1">
      <x:c r="C27" s="47" t="str">
        <x:f>IF(AND('Inputs'!$E$56="On",1&lt;='Inputs'!$E$45),1,"")</x:f>
      </x:c>
      <x:c r="D27" s="35" t="str">
        <x:f>IF($C27="","",'Annual Projection'!N10)</x:f>
      </x:c>
      <x:c r="E27" s="35" t="str">
        <x:f>IF($C27="","",MAX(0,-D27)*'Inputs'!$E$57)</x:f>
      </x:c>
      <x:c r="F27" s="35" t="str">
        <x:f>IF($C27="","",MAX(0,-D27)*(1-'Inputs'!$E$57))</x:f>
      </x:c>
      <x:c r="G27" s="35" t="str">
        <x:f>IF($C27="","",P26)</x:f>
      </x:c>
      <x:c r="H27" s="35" t="str">
        <x:f>IF($C27="","",O26)</x:f>
      </x:c>
      <x:c r="I27" s="35" t="str">
        <x:f>IF($C27="","",G27*'Inputs'!$E$59)</x:f>
      </x:c>
      <x:c r="J27" s="35" t="str">
        <x:f>IF($C27="","",MAX(0,D27))</x:f>
      </x:c>
      <x:c r="K27" s="35" t="str">
        <x:f>IF($C27="","",MIN(J27,SUM(H27:I27)))</x:f>
      </x:c>
      <x:c r="L27" s="35" t="str">
        <x:f>IF($C27="","",J27-K27)</x:f>
      </x:c>
      <x:c r="M27" s="35" t="str">
        <x:f>IF($C27="","",L27*$E$13)</x:f>
      </x:c>
      <x:c r="N27" s="35" t="str">
        <x:f>IF($C27="","",L27*$E$14)</x:f>
      </x:c>
      <x:c r="O27" s="35" t="str">
        <x:f>IF($C27="","",SUM(H27:I27)-K27)</x:f>
      </x:c>
      <x:c r="P27" s="35" t="str">
        <x:f>IF($C27="","",G27+E27)</x:f>
      </x:c>
      <x:c r="Q27" s="35" t="str">
        <x:f>IF($C27="","",Q26+F27)</x:f>
      </x:c>
      <x:c r="R27" s="35" t="str">
        <x:f>IF($C27="","",SUM(K27,M27))</x:f>
      </x:c>
      <x:c r="S27" s="35" t="str">
        <x:f>IF($C27="","",N27)</x:f>
      </x:c>
      <x:c r="T27" s="2"/>
      <x:c r="U27" s="71" t="str">
        <x:f>IF($C27="","",C27)</x:f>
      </x:c>
      <x:c r="V27" s="35" t="n">
        <x:f>IF($C27="",0,AB27-AA27)</x:f>
        <x:v>0</x:v>
      </x:c>
      <x:c r="W27" s="71" t="str">
        <x:f>IF($C27="","",IF(V27=0,W26,SIGN(V27)))</x:f>
      </x:c>
      <x:c r="X27" s="71" t="str">
        <x:f>IF($C27="","",IF(AND(V27&lt;&gt;0,W26&lt;&gt;0,W27&lt;&gt;W26),1,0))</x:f>
      </x:c>
      <x:c r="Y27" s="35" t="str">
        <x:f>IF($C27="","",IF(C27='Inputs'!$E$45,$E$77,0))</x:f>
      </x:c>
      <x:c r="Z27" s="35" t="str">
        <x:f>IF($C27="","",IF(C27='Inputs'!$E$45,$E$78,0))</x:f>
      </x:c>
      <x:c r="AA27" s="35" t="str">
        <x:f>IF($C27="","",E27+IF(C27='Inputs'!$E$45,$E$65,0))</x:f>
      </x:c>
      <x:c r="AB27" s="35" t="str">
        <x:f>IF($C27="","",SUM(R27,Y27))</x:f>
      </x:c>
      <x:c r="AC27" s="35" t="str">
        <x:f>IF($C27="","",F27+IF(C27='Inputs'!$E$45,$E$66,0))</x:f>
      </x:c>
      <x:c r="AD27" s="35" t="str">
        <x:f>IF($C27="","",SUM(S27,Z27))</x:f>
      </x:c>
      <x:c r="AE27" s="35" t="str">
        <x:f>IF($C27="","",'Annual Projection'!G10*'Inputs'!$E$62)</x:f>
      </x:c>
    </x:row>
    <x:row r="28" ht="23" customHeight="1">
      <x:c r="C28" s="47" t="str">
        <x:f>IF(AND('Inputs'!$E$56="On",2&lt;='Inputs'!$E$45),2,"")</x:f>
      </x:c>
      <x:c r="D28" s="35" t="str">
        <x:f>IF($C28="","",'Annual Projection'!N11)</x:f>
      </x:c>
      <x:c r="E28" s="35" t="str">
        <x:f>IF($C28="","",MAX(0,-D28)*'Inputs'!$E$57)</x:f>
      </x:c>
      <x:c r="F28" s="35" t="str">
        <x:f>IF($C28="","",MAX(0,-D28)*(1-'Inputs'!$E$57))</x:f>
      </x:c>
      <x:c r="G28" s="35" t="str">
        <x:f>IF($C28="","",P27)</x:f>
      </x:c>
      <x:c r="H28" s="35" t="str">
        <x:f>IF($C28="","",O27)</x:f>
      </x:c>
      <x:c r="I28" s="35" t="str">
        <x:f>IF($C28="","",G28*'Inputs'!$E$59)</x:f>
      </x:c>
      <x:c r="J28" s="35" t="str">
        <x:f>IF($C28="","",MAX(0,D28))</x:f>
      </x:c>
      <x:c r="K28" s="35" t="str">
        <x:f>IF($C28="","",MIN(J28,SUM(H28:I28)))</x:f>
      </x:c>
      <x:c r="L28" s="35" t="str">
        <x:f>IF($C28="","",J28-K28)</x:f>
      </x:c>
      <x:c r="M28" s="35" t="str">
        <x:f>IF($C28="","",L28*$E$13)</x:f>
      </x:c>
      <x:c r="N28" s="35" t="str">
        <x:f>IF($C28="","",L28*$E$14)</x:f>
      </x:c>
      <x:c r="O28" s="35" t="str">
        <x:f>IF($C28="","",SUM(H28:I28)-K28)</x:f>
      </x:c>
      <x:c r="P28" s="35" t="str">
        <x:f>IF($C28="","",G28+E28)</x:f>
      </x:c>
      <x:c r="Q28" s="35" t="str">
        <x:f>IF($C28="","",Q27+F28)</x:f>
      </x:c>
      <x:c r="R28" s="35" t="str">
        <x:f>IF($C28="","",SUM(K28,M28))</x:f>
      </x:c>
      <x:c r="S28" s="35" t="str">
        <x:f>IF($C28="","",N28)</x:f>
      </x:c>
      <x:c r="T28" s="2"/>
      <x:c r="U28" s="71" t="str">
        <x:f>IF($C28="","",C28)</x:f>
      </x:c>
      <x:c r="V28" s="35" t="n">
        <x:f>IF($C28="",0,AB28-AA28)</x:f>
        <x:v>0</x:v>
      </x:c>
      <x:c r="W28" s="71" t="str">
        <x:f>IF($C28="","",IF(V28=0,W27,SIGN(V28)))</x:f>
      </x:c>
      <x:c r="X28" s="71" t="str">
        <x:f>IF($C28="","",IF(AND(V28&lt;&gt;0,W27&lt;&gt;0,W28&lt;&gt;W27),1,0))</x:f>
      </x:c>
      <x:c r="Y28" s="35" t="str">
        <x:f>IF($C28="","",IF(C28='Inputs'!$E$45,$E$77,0))</x:f>
      </x:c>
      <x:c r="Z28" s="35" t="str">
        <x:f>IF($C28="","",IF(C28='Inputs'!$E$45,$E$78,0))</x:f>
      </x:c>
      <x:c r="AA28" s="35" t="str">
        <x:f>IF($C28="","",E28+IF(C28='Inputs'!$E$45,$E$65,0))</x:f>
      </x:c>
      <x:c r="AB28" s="35" t="str">
        <x:f>IF($C28="","",SUM(R28,Y28))</x:f>
      </x:c>
      <x:c r="AC28" s="35" t="str">
        <x:f>IF($C28="","",F28+IF(C28='Inputs'!$E$45,$E$66,0))</x:f>
      </x:c>
      <x:c r="AD28" s="35" t="str">
        <x:f>IF($C28="","",SUM(S28,Z28))</x:f>
      </x:c>
      <x:c r="AE28" s="35" t="str">
        <x:f>IF($C28="","",'Annual Projection'!G11*'Inputs'!$E$62)</x:f>
      </x:c>
    </x:row>
    <x:row r="29" ht="23" customHeight="1">
      <x:c r="C29" s="47" t="str">
        <x:f>IF(AND('Inputs'!$E$56="On",3&lt;='Inputs'!$E$45),3,"")</x:f>
      </x:c>
      <x:c r="D29" s="35" t="str">
        <x:f>IF($C29="","",'Annual Projection'!N12)</x:f>
      </x:c>
      <x:c r="E29" s="35" t="str">
        <x:f>IF($C29="","",MAX(0,-D29)*'Inputs'!$E$57)</x:f>
      </x:c>
      <x:c r="F29" s="35" t="str">
        <x:f>IF($C29="","",MAX(0,-D29)*(1-'Inputs'!$E$57))</x:f>
      </x:c>
      <x:c r="G29" s="35" t="str">
        <x:f>IF($C29="","",P28)</x:f>
      </x:c>
      <x:c r="H29" s="35" t="str">
        <x:f>IF($C29="","",O28)</x:f>
      </x:c>
      <x:c r="I29" s="35" t="str">
        <x:f>IF($C29="","",G29*'Inputs'!$E$59)</x:f>
      </x:c>
      <x:c r="J29" s="35" t="str">
        <x:f>IF($C29="","",MAX(0,D29))</x:f>
      </x:c>
      <x:c r="K29" s="35" t="str">
        <x:f>IF($C29="","",MIN(J29,SUM(H29:I29)))</x:f>
      </x:c>
      <x:c r="L29" s="35" t="str">
        <x:f>IF($C29="","",J29-K29)</x:f>
      </x:c>
      <x:c r="M29" s="35" t="str">
        <x:f>IF($C29="","",L29*$E$13)</x:f>
      </x:c>
      <x:c r="N29" s="35" t="str">
        <x:f>IF($C29="","",L29*$E$14)</x:f>
      </x:c>
      <x:c r="O29" s="35" t="str">
        <x:f>IF($C29="","",SUM(H29:I29)-K29)</x:f>
      </x:c>
      <x:c r="P29" s="35" t="str">
        <x:f>IF($C29="","",G29+E29)</x:f>
      </x:c>
      <x:c r="Q29" s="35" t="str">
        <x:f>IF($C29="","",Q28+F29)</x:f>
      </x:c>
      <x:c r="R29" s="35" t="str">
        <x:f>IF($C29="","",SUM(K29,M29))</x:f>
      </x:c>
      <x:c r="S29" s="35" t="str">
        <x:f>IF($C29="","",N29)</x:f>
      </x:c>
      <x:c r="T29" s="2"/>
      <x:c r="U29" s="71" t="str">
        <x:f>IF($C29="","",C29)</x:f>
      </x:c>
      <x:c r="V29" s="35" t="n">
        <x:f>IF($C29="",0,AB29-AA29)</x:f>
        <x:v>0</x:v>
      </x:c>
      <x:c r="W29" s="71" t="str">
        <x:f>IF($C29="","",IF(V29=0,W28,SIGN(V29)))</x:f>
      </x:c>
      <x:c r="X29" s="71" t="str">
        <x:f>IF($C29="","",IF(AND(V29&lt;&gt;0,W28&lt;&gt;0,W29&lt;&gt;W28),1,0))</x:f>
      </x:c>
      <x:c r="Y29" s="35" t="str">
        <x:f>IF($C29="","",IF(C29='Inputs'!$E$45,$E$77,0))</x:f>
      </x:c>
      <x:c r="Z29" s="35" t="str">
        <x:f>IF($C29="","",IF(C29='Inputs'!$E$45,$E$78,0))</x:f>
      </x:c>
      <x:c r="AA29" s="35" t="str">
        <x:f>IF($C29="","",E29+IF(C29='Inputs'!$E$45,$E$65,0))</x:f>
      </x:c>
      <x:c r="AB29" s="35" t="str">
        <x:f>IF($C29="","",SUM(R29,Y29))</x:f>
      </x:c>
      <x:c r="AC29" s="35" t="str">
        <x:f>IF($C29="","",F29+IF(C29='Inputs'!$E$45,$E$66,0))</x:f>
      </x:c>
      <x:c r="AD29" s="35" t="str">
        <x:f>IF($C29="","",SUM(S29,Z29))</x:f>
      </x:c>
      <x:c r="AE29" s="35" t="str">
        <x:f>IF($C29="","",'Annual Projection'!G12*'Inputs'!$E$62)</x:f>
      </x:c>
    </x:row>
    <x:row r="30" ht="23" customHeight="1">
      <x:c r="C30" s="47" t="str">
        <x:f>IF(AND('Inputs'!$E$56="On",4&lt;='Inputs'!$E$45),4,"")</x:f>
      </x:c>
      <x:c r="D30" s="35" t="str">
        <x:f>IF($C30="","",'Annual Projection'!N13)</x:f>
      </x:c>
      <x:c r="E30" s="35" t="str">
        <x:f>IF($C30="","",MAX(0,-D30)*'Inputs'!$E$57)</x:f>
      </x:c>
      <x:c r="F30" s="35" t="str">
        <x:f>IF($C30="","",MAX(0,-D30)*(1-'Inputs'!$E$57))</x:f>
      </x:c>
      <x:c r="G30" s="35" t="str">
        <x:f>IF($C30="","",P29)</x:f>
      </x:c>
      <x:c r="H30" s="35" t="str">
        <x:f>IF($C30="","",O29)</x:f>
      </x:c>
      <x:c r="I30" s="35" t="str">
        <x:f>IF($C30="","",G30*'Inputs'!$E$59)</x:f>
      </x:c>
      <x:c r="J30" s="35" t="str">
        <x:f>IF($C30="","",MAX(0,D30))</x:f>
      </x:c>
      <x:c r="K30" s="35" t="str">
        <x:f>IF($C30="","",MIN(J30,SUM(H30:I30)))</x:f>
      </x:c>
      <x:c r="L30" s="35" t="str">
        <x:f>IF($C30="","",J30-K30)</x:f>
      </x:c>
      <x:c r="M30" s="35" t="str">
        <x:f>IF($C30="","",L30*$E$13)</x:f>
      </x:c>
      <x:c r="N30" s="35" t="str">
        <x:f>IF($C30="","",L30*$E$14)</x:f>
      </x:c>
      <x:c r="O30" s="35" t="str">
        <x:f>IF($C30="","",SUM(H30:I30)-K30)</x:f>
      </x:c>
      <x:c r="P30" s="35" t="str">
        <x:f>IF($C30="","",G30+E30)</x:f>
      </x:c>
      <x:c r="Q30" s="35" t="str">
        <x:f>IF($C30="","",Q29+F30)</x:f>
      </x:c>
      <x:c r="R30" s="35" t="str">
        <x:f>IF($C30="","",SUM(K30,M30))</x:f>
      </x:c>
      <x:c r="S30" s="35" t="str">
        <x:f>IF($C30="","",N30)</x:f>
      </x:c>
      <x:c r="T30" s="2"/>
      <x:c r="U30" s="71" t="str">
        <x:f>IF($C30="","",C30)</x:f>
      </x:c>
      <x:c r="V30" s="35" t="n">
        <x:f>IF($C30="",0,AB30-AA30)</x:f>
        <x:v>0</x:v>
      </x:c>
      <x:c r="W30" s="71" t="str">
        <x:f>IF($C30="","",IF(V30=0,W29,SIGN(V30)))</x:f>
      </x:c>
      <x:c r="X30" s="71" t="str">
        <x:f>IF($C30="","",IF(AND(V30&lt;&gt;0,W29&lt;&gt;0,W30&lt;&gt;W29),1,0))</x:f>
      </x:c>
      <x:c r="Y30" s="35" t="str">
        <x:f>IF($C30="","",IF(C30='Inputs'!$E$45,$E$77,0))</x:f>
      </x:c>
      <x:c r="Z30" s="35" t="str">
        <x:f>IF($C30="","",IF(C30='Inputs'!$E$45,$E$78,0))</x:f>
      </x:c>
      <x:c r="AA30" s="35" t="str">
        <x:f>IF($C30="","",E30+IF(C30='Inputs'!$E$45,$E$65,0))</x:f>
      </x:c>
      <x:c r="AB30" s="35" t="str">
        <x:f>IF($C30="","",SUM(R30,Y30))</x:f>
      </x:c>
      <x:c r="AC30" s="35" t="str">
        <x:f>IF($C30="","",F30+IF(C30='Inputs'!$E$45,$E$66,0))</x:f>
      </x:c>
      <x:c r="AD30" s="35" t="str">
        <x:f>IF($C30="","",SUM(S30,Z30))</x:f>
      </x:c>
      <x:c r="AE30" s="35" t="str">
        <x:f>IF($C30="","",'Annual Projection'!G13*'Inputs'!$E$62)</x:f>
      </x:c>
    </x:row>
    <x:row r="31" ht="23" customHeight="1">
      <x:c r="C31" s="47" t="str">
        <x:f>IF(AND('Inputs'!$E$56="On",5&lt;='Inputs'!$E$45),5,"")</x:f>
      </x:c>
      <x:c r="D31" s="35" t="str">
        <x:f>IF($C31="","",'Annual Projection'!N14)</x:f>
      </x:c>
      <x:c r="E31" s="35" t="str">
        <x:f>IF($C31="","",MAX(0,-D31)*'Inputs'!$E$57)</x:f>
      </x:c>
      <x:c r="F31" s="35" t="str">
        <x:f>IF($C31="","",MAX(0,-D31)*(1-'Inputs'!$E$57))</x:f>
      </x:c>
      <x:c r="G31" s="35" t="str">
        <x:f>IF($C31="","",P30)</x:f>
      </x:c>
      <x:c r="H31" s="35" t="str">
        <x:f>IF($C31="","",O30)</x:f>
      </x:c>
      <x:c r="I31" s="35" t="str">
        <x:f>IF($C31="","",G31*'Inputs'!$E$59)</x:f>
      </x:c>
      <x:c r="J31" s="35" t="str">
        <x:f>IF($C31="","",MAX(0,D31))</x:f>
      </x:c>
      <x:c r="K31" s="35" t="str">
        <x:f>IF($C31="","",MIN(J31,SUM(H31:I31)))</x:f>
      </x:c>
      <x:c r="L31" s="35" t="str">
        <x:f>IF($C31="","",J31-K31)</x:f>
      </x:c>
      <x:c r="M31" s="35" t="str">
        <x:f>IF($C31="","",L31*$E$13)</x:f>
      </x:c>
      <x:c r="N31" s="35" t="str">
        <x:f>IF($C31="","",L31*$E$14)</x:f>
      </x:c>
      <x:c r="O31" s="35" t="str">
        <x:f>IF($C31="","",SUM(H31:I31)-K31)</x:f>
      </x:c>
      <x:c r="P31" s="35" t="str">
        <x:f>IF($C31="","",G31+E31)</x:f>
      </x:c>
      <x:c r="Q31" s="35" t="str">
        <x:f>IF($C31="","",Q30+F31)</x:f>
      </x:c>
      <x:c r="R31" s="35" t="str">
        <x:f>IF($C31="","",SUM(K31,M31))</x:f>
      </x:c>
      <x:c r="S31" s="35" t="str">
        <x:f>IF($C31="","",N31)</x:f>
      </x:c>
      <x:c r="T31" s="2"/>
      <x:c r="U31" s="71" t="str">
        <x:f>IF($C31="","",C31)</x:f>
      </x:c>
      <x:c r="V31" s="35" t="n">
        <x:f>IF($C31="",0,AB31-AA31)</x:f>
        <x:v>0</x:v>
      </x:c>
      <x:c r="W31" s="71" t="str">
        <x:f>IF($C31="","",IF(V31=0,W30,SIGN(V31)))</x:f>
      </x:c>
      <x:c r="X31" s="71" t="str">
        <x:f>IF($C31="","",IF(AND(V31&lt;&gt;0,W30&lt;&gt;0,W31&lt;&gt;W30),1,0))</x:f>
      </x:c>
      <x:c r="Y31" s="35" t="str">
        <x:f>IF($C31="","",IF(C31='Inputs'!$E$45,$E$77,0))</x:f>
      </x:c>
      <x:c r="Z31" s="35" t="str">
        <x:f>IF($C31="","",IF(C31='Inputs'!$E$45,$E$78,0))</x:f>
      </x:c>
      <x:c r="AA31" s="35" t="str">
        <x:f>IF($C31="","",E31+IF(C31='Inputs'!$E$45,$E$65,0))</x:f>
      </x:c>
      <x:c r="AB31" s="35" t="str">
        <x:f>IF($C31="","",SUM(R31,Y31))</x:f>
      </x:c>
      <x:c r="AC31" s="35" t="str">
        <x:f>IF($C31="","",F31+IF(C31='Inputs'!$E$45,$E$66,0))</x:f>
      </x:c>
      <x:c r="AD31" s="35" t="str">
        <x:f>IF($C31="","",SUM(S31,Z31))</x:f>
      </x:c>
      <x:c r="AE31" s="35" t="str">
        <x:f>IF($C31="","",'Annual Projection'!G14*'Inputs'!$E$62)</x:f>
      </x:c>
    </x:row>
    <x:row r="32" ht="23" customHeight="1">
      <x:c r="C32" s="47" t="str">
        <x:f>IF(AND('Inputs'!$E$56="On",6&lt;='Inputs'!$E$45),6,"")</x:f>
      </x:c>
      <x:c r="D32" s="35" t="str">
        <x:f>IF($C32="","",'Annual Projection'!N15)</x:f>
      </x:c>
      <x:c r="E32" s="35" t="str">
        <x:f>IF($C32="","",MAX(0,-D32)*'Inputs'!$E$57)</x:f>
      </x:c>
      <x:c r="F32" s="35" t="str">
        <x:f>IF($C32="","",MAX(0,-D32)*(1-'Inputs'!$E$57))</x:f>
      </x:c>
      <x:c r="G32" s="35" t="str">
        <x:f>IF($C32="","",P31)</x:f>
      </x:c>
      <x:c r="H32" s="35" t="str">
        <x:f>IF($C32="","",O31)</x:f>
      </x:c>
      <x:c r="I32" s="35" t="str">
        <x:f>IF($C32="","",G32*'Inputs'!$E$59)</x:f>
      </x:c>
      <x:c r="J32" s="35" t="str">
        <x:f>IF($C32="","",MAX(0,D32))</x:f>
      </x:c>
      <x:c r="K32" s="35" t="str">
        <x:f>IF($C32="","",MIN(J32,SUM(H32:I32)))</x:f>
      </x:c>
      <x:c r="L32" s="35" t="str">
        <x:f>IF($C32="","",J32-K32)</x:f>
      </x:c>
      <x:c r="M32" s="35" t="str">
        <x:f>IF($C32="","",L32*$E$13)</x:f>
      </x:c>
      <x:c r="N32" s="35" t="str">
        <x:f>IF($C32="","",L32*$E$14)</x:f>
      </x:c>
      <x:c r="O32" s="35" t="str">
        <x:f>IF($C32="","",SUM(H32:I32)-K32)</x:f>
      </x:c>
      <x:c r="P32" s="35" t="str">
        <x:f>IF($C32="","",G32+E32)</x:f>
      </x:c>
      <x:c r="Q32" s="35" t="str">
        <x:f>IF($C32="","",Q31+F32)</x:f>
      </x:c>
      <x:c r="R32" s="35" t="str">
        <x:f>IF($C32="","",SUM(K32,M32))</x:f>
      </x:c>
      <x:c r="S32" s="35" t="str">
        <x:f>IF($C32="","",N32)</x:f>
      </x:c>
      <x:c r="T32" s="2"/>
      <x:c r="U32" s="71" t="str">
        <x:f>IF($C32="","",C32)</x:f>
      </x:c>
      <x:c r="V32" s="35" t="n">
        <x:f>IF($C32="",0,AB32-AA32)</x:f>
        <x:v>0</x:v>
      </x:c>
      <x:c r="W32" s="71" t="str">
        <x:f>IF($C32="","",IF(V32=0,W31,SIGN(V32)))</x:f>
      </x:c>
      <x:c r="X32" s="71" t="str">
        <x:f>IF($C32="","",IF(AND(V32&lt;&gt;0,W31&lt;&gt;0,W32&lt;&gt;W31),1,0))</x:f>
      </x:c>
      <x:c r="Y32" s="35" t="str">
        <x:f>IF($C32="","",IF(C32='Inputs'!$E$45,$E$77,0))</x:f>
      </x:c>
      <x:c r="Z32" s="35" t="str">
        <x:f>IF($C32="","",IF(C32='Inputs'!$E$45,$E$78,0))</x:f>
      </x:c>
      <x:c r="AA32" s="35" t="str">
        <x:f>IF($C32="","",E32+IF(C32='Inputs'!$E$45,$E$65,0))</x:f>
      </x:c>
      <x:c r="AB32" s="35" t="str">
        <x:f>IF($C32="","",SUM(R32,Y32))</x:f>
      </x:c>
      <x:c r="AC32" s="35" t="str">
        <x:f>IF($C32="","",F32+IF(C32='Inputs'!$E$45,$E$66,0))</x:f>
      </x:c>
      <x:c r="AD32" s="35" t="str">
        <x:f>IF($C32="","",SUM(S32,Z32))</x:f>
      </x:c>
      <x:c r="AE32" s="35" t="str">
        <x:f>IF($C32="","",'Annual Projection'!G15*'Inputs'!$E$62)</x:f>
      </x:c>
    </x:row>
    <x:row r="33" ht="23" customHeight="1">
      <x:c r="C33" s="47" t="str">
        <x:f>IF(AND('Inputs'!$E$56="On",7&lt;='Inputs'!$E$45),7,"")</x:f>
      </x:c>
      <x:c r="D33" s="35" t="str">
        <x:f>IF($C33="","",'Annual Projection'!N16)</x:f>
      </x:c>
      <x:c r="E33" s="35" t="str">
        <x:f>IF($C33="","",MAX(0,-D33)*'Inputs'!$E$57)</x:f>
      </x:c>
      <x:c r="F33" s="35" t="str">
        <x:f>IF($C33="","",MAX(0,-D33)*(1-'Inputs'!$E$57))</x:f>
      </x:c>
      <x:c r="G33" s="35" t="str">
        <x:f>IF($C33="","",P32)</x:f>
      </x:c>
      <x:c r="H33" s="35" t="str">
        <x:f>IF($C33="","",O32)</x:f>
      </x:c>
      <x:c r="I33" s="35" t="str">
        <x:f>IF($C33="","",G33*'Inputs'!$E$59)</x:f>
      </x:c>
      <x:c r="J33" s="35" t="str">
        <x:f>IF($C33="","",MAX(0,D33))</x:f>
      </x:c>
      <x:c r="K33" s="35" t="str">
        <x:f>IF($C33="","",MIN(J33,SUM(H33:I33)))</x:f>
      </x:c>
      <x:c r="L33" s="35" t="str">
        <x:f>IF($C33="","",J33-K33)</x:f>
      </x:c>
      <x:c r="M33" s="35" t="str">
        <x:f>IF($C33="","",L33*$E$13)</x:f>
      </x:c>
      <x:c r="N33" s="35" t="str">
        <x:f>IF($C33="","",L33*$E$14)</x:f>
      </x:c>
      <x:c r="O33" s="35" t="str">
        <x:f>IF($C33="","",SUM(H33:I33)-K33)</x:f>
      </x:c>
      <x:c r="P33" s="35" t="str">
        <x:f>IF($C33="","",G33+E33)</x:f>
      </x:c>
      <x:c r="Q33" s="35" t="str">
        <x:f>IF($C33="","",Q32+F33)</x:f>
      </x:c>
      <x:c r="R33" s="35" t="str">
        <x:f>IF($C33="","",SUM(K33,M33))</x:f>
      </x:c>
      <x:c r="S33" s="35" t="str">
        <x:f>IF($C33="","",N33)</x:f>
      </x:c>
      <x:c r="T33" s="2"/>
      <x:c r="U33" s="71" t="str">
        <x:f>IF($C33="","",C33)</x:f>
      </x:c>
      <x:c r="V33" s="35" t="n">
        <x:f>IF($C33="",0,AB33-AA33)</x:f>
        <x:v>0</x:v>
      </x:c>
      <x:c r="W33" s="71" t="str">
        <x:f>IF($C33="","",IF(V33=0,W32,SIGN(V33)))</x:f>
      </x:c>
      <x:c r="X33" s="71" t="str">
        <x:f>IF($C33="","",IF(AND(V33&lt;&gt;0,W32&lt;&gt;0,W33&lt;&gt;W32),1,0))</x:f>
      </x:c>
      <x:c r="Y33" s="35" t="str">
        <x:f>IF($C33="","",IF(C33='Inputs'!$E$45,$E$77,0))</x:f>
      </x:c>
      <x:c r="Z33" s="35" t="str">
        <x:f>IF($C33="","",IF(C33='Inputs'!$E$45,$E$78,0))</x:f>
      </x:c>
      <x:c r="AA33" s="35" t="str">
        <x:f>IF($C33="","",E33+IF(C33='Inputs'!$E$45,$E$65,0))</x:f>
      </x:c>
      <x:c r="AB33" s="35" t="str">
        <x:f>IF($C33="","",SUM(R33,Y33))</x:f>
      </x:c>
      <x:c r="AC33" s="35" t="str">
        <x:f>IF($C33="","",F33+IF(C33='Inputs'!$E$45,$E$66,0))</x:f>
      </x:c>
      <x:c r="AD33" s="35" t="str">
        <x:f>IF($C33="","",SUM(S33,Z33))</x:f>
      </x:c>
      <x:c r="AE33" s="35" t="str">
        <x:f>IF($C33="","",'Annual Projection'!G16*'Inputs'!$E$62)</x:f>
      </x:c>
    </x:row>
    <x:row r="34" ht="23" customHeight="1">
      <x:c r="C34" s="47" t="str">
        <x:f>IF(AND('Inputs'!$E$56="On",8&lt;='Inputs'!$E$45),8,"")</x:f>
      </x:c>
      <x:c r="D34" s="35" t="str">
        <x:f>IF($C34="","",'Annual Projection'!N17)</x:f>
      </x:c>
      <x:c r="E34" s="35" t="str">
        <x:f>IF($C34="","",MAX(0,-D34)*'Inputs'!$E$57)</x:f>
      </x:c>
      <x:c r="F34" s="35" t="str">
        <x:f>IF($C34="","",MAX(0,-D34)*(1-'Inputs'!$E$57))</x:f>
      </x:c>
      <x:c r="G34" s="35" t="str">
        <x:f>IF($C34="","",P33)</x:f>
      </x:c>
      <x:c r="H34" s="35" t="str">
        <x:f>IF($C34="","",O33)</x:f>
      </x:c>
      <x:c r="I34" s="35" t="str">
        <x:f>IF($C34="","",G34*'Inputs'!$E$59)</x:f>
      </x:c>
      <x:c r="J34" s="35" t="str">
        <x:f>IF($C34="","",MAX(0,D34))</x:f>
      </x:c>
      <x:c r="K34" s="35" t="str">
        <x:f>IF($C34="","",MIN(J34,SUM(H34:I34)))</x:f>
      </x:c>
      <x:c r="L34" s="35" t="str">
        <x:f>IF($C34="","",J34-K34)</x:f>
      </x:c>
      <x:c r="M34" s="35" t="str">
        <x:f>IF($C34="","",L34*$E$13)</x:f>
      </x:c>
      <x:c r="N34" s="35" t="str">
        <x:f>IF($C34="","",L34*$E$14)</x:f>
      </x:c>
      <x:c r="O34" s="35" t="str">
        <x:f>IF($C34="","",SUM(H34:I34)-K34)</x:f>
      </x:c>
      <x:c r="P34" s="35" t="str">
        <x:f>IF($C34="","",G34+E34)</x:f>
      </x:c>
      <x:c r="Q34" s="35" t="str">
        <x:f>IF($C34="","",Q33+F34)</x:f>
      </x:c>
      <x:c r="R34" s="35" t="str">
        <x:f>IF($C34="","",SUM(K34,M34))</x:f>
      </x:c>
      <x:c r="S34" s="35" t="str">
        <x:f>IF($C34="","",N34)</x:f>
      </x:c>
      <x:c r="T34" s="2"/>
      <x:c r="U34" s="71" t="str">
        <x:f>IF($C34="","",C34)</x:f>
      </x:c>
      <x:c r="V34" s="35" t="n">
        <x:f>IF($C34="",0,AB34-AA34)</x:f>
        <x:v>0</x:v>
      </x:c>
      <x:c r="W34" s="71" t="str">
        <x:f>IF($C34="","",IF(V34=0,W33,SIGN(V34)))</x:f>
      </x:c>
      <x:c r="X34" s="71" t="str">
        <x:f>IF($C34="","",IF(AND(V34&lt;&gt;0,W33&lt;&gt;0,W34&lt;&gt;W33),1,0))</x:f>
      </x:c>
      <x:c r="Y34" s="35" t="str">
        <x:f>IF($C34="","",IF(C34='Inputs'!$E$45,$E$77,0))</x:f>
      </x:c>
      <x:c r="Z34" s="35" t="str">
        <x:f>IF($C34="","",IF(C34='Inputs'!$E$45,$E$78,0))</x:f>
      </x:c>
      <x:c r="AA34" s="35" t="str">
        <x:f>IF($C34="","",E34+IF(C34='Inputs'!$E$45,$E$65,0))</x:f>
      </x:c>
      <x:c r="AB34" s="35" t="str">
        <x:f>IF($C34="","",SUM(R34,Y34))</x:f>
      </x:c>
      <x:c r="AC34" s="35" t="str">
        <x:f>IF($C34="","",F34+IF(C34='Inputs'!$E$45,$E$66,0))</x:f>
      </x:c>
      <x:c r="AD34" s="35" t="str">
        <x:f>IF($C34="","",SUM(S34,Z34))</x:f>
      </x:c>
      <x:c r="AE34" s="35" t="str">
        <x:f>IF($C34="","",'Annual Projection'!G17*'Inputs'!$E$62)</x:f>
      </x:c>
    </x:row>
    <x:row r="35" ht="23" customHeight="1">
      <x:c r="C35" s="47" t="str">
        <x:f>IF(AND('Inputs'!$E$56="On",9&lt;='Inputs'!$E$45),9,"")</x:f>
      </x:c>
      <x:c r="D35" s="35" t="str">
        <x:f>IF($C35="","",'Annual Projection'!N18)</x:f>
      </x:c>
      <x:c r="E35" s="35" t="str">
        <x:f>IF($C35="","",MAX(0,-D35)*'Inputs'!$E$57)</x:f>
      </x:c>
      <x:c r="F35" s="35" t="str">
        <x:f>IF($C35="","",MAX(0,-D35)*(1-'Inputs'!$E$57))</x:f>
      </x:c>
      <x:c r="G35" s="35" t="str">
        <x:f>IF($C35="","",P34)</x:f>
      </x:c>
      <x:c r="H35" s="35" t="str">
        <x:f>IF($C35="","",O34)</x:f>
      </x:c>
      <x:c r="I35" s="35" t="str">
        <x:f>IF($C35="","",G35*'Inputs'!$E$59)</x:f>
      </x:c>
      <x:c r="J35" s="35" t="str">
        <x:f>IF($C35="","",MAX(0,D35))</x:f>
      </x:c>
      <x:c r="K35" s="35" t="str">
        <x:f>IF($C35="","",MIN(J35,SUM(H35:I35)))</x:f>
      </x:c>
      <x:c r="L35" s="35" t="str">
        <x:f>IF($C35="","",J35-K35)</x:f>
      </x:c>
      <x:c r="M35" s="35" t="str">
        <x:f>IF($C35="","",L35*$E$13)</x:f>
      </x:c>
      <x:c r="N35" s="35" t="str">
        <x:f>IF($C35="","",L35*$E$14)</x:f>
      </x:c>
      <x:c r="O35" s="35" t="str">
        <x:f>IF($C35="","",SUM(H35:I35)-K35)</x:f>
      </x:c>
      <x:c r="P35" s="35" t="str">
        <x:f>IF($C35="","",G35+E35)</x:f>
      </x:c>
      <x:c r="Q35" s="35" t="str">
        <x:f>IF($C35="","",Q34+F35)</x:f>
      </x:c>
      <x:c r="R35" s="35" t="str">
        <x:f>IF($C35="","",SUM(K35,M35))</x:f>
      </x:c>
      <x:c r="S35" s="35" t="str">
        <x:f>IF($C35="","",N35)</x:f>
      </x:c>
      <x:c r="T35" s="2"/>
      <x:c r="U35" s="71" t="str">
        <x:f>IF($C35="","",C35)</x:f>
      </x:c>
      <x:c r="V35" s="35" t="n">
        <x:f>IF($C35="",0,AB35-AA35)</x:f>
        <x:v>0</x:v>
      </x:c>
      <x:c r="W35" s="71" t="str">
        <x:f>IF($C35="","",IF(V35=0,W34,SIGN(V35)))</x:f>
      </x:c>
      <x:c r="X35" s="71" t="str">
        <x:f>IF($C35="","",IF(AND(V35&lt;&gt;0,W34&lt;&gt;0,W35&lt;&gt;W34),1,0))</x:f>
      </x:c>
      <x:c r="Y35" s="35" t="str">
        <x:f>IF($C35="","",IF(C35='Inputs'!$E$45,$E$77,0))</x:f>
      </x:c>
      <x:c r="Z35" s="35" t="str">
        <x:f>IF($C35="","",IF(C35='Inputs'!$E$45,$E$78,0))</x:f>
      </x:c>
      <x:c r="AA35" s="35" t="str">
        <x:f>IF($C35="","",E35+IF(C35='Inputs'!$E$45,$E$65,0))</x:f>
      </x:c>
      <x:c r="AB35" s="35" t="str">
        <x:f>IF($C35="","",SUM(R35,Y35))</x:f>
      </x:c>
      <x:c r="AC35" s="35" t="str">
        <x:f>IF($C35="","",F35+IF(C35='Inputs'!$E$45,$E$66,0))</x:f>
      </x:c>
      <x:c r="AD35" s="35" t="str">
        <x:f>IF($C35="","",SUM(S35,Z35))</x:f>
      </x:c>
      <x:c r="AE35" s="35" t="str">
        <x:f>IF($C35="","",'Annual Projection'!G18*'Inputs'!$E$62)</x:f>
      </x:c>
    </x:row>
    <x:row r="36" ht="23" customHeight="1">
      <x:c r="C36" s="47" t="str">
        <x:f>IF(AND('Inputs'!$E$56="On",10&lt;='Inputs'!$E$45),10,"")</x:f>
      </x:c>
      <x:c r="D36" s="35" t="str">
        <x:f>IF($C36="","",'Annual Projection'!N19)</x:f>
      </x:c>
      <x:c r="E36" s="35" t="str">
        <x:f>IF($C36="","",MAX(0,-D36)*'Inputs'!$E$57)</x:f>
      </x:c>
      <x:c r="F36" s="35" t="str">
        <x:f>IF($C36="","",MAX(0,-D36)*(1-'Inputs'!$E$57))</x:f>
      </x:c>
      <x:c r="G36" s="35" t="str">
        <x:f>IF($C36="","",P35)</x:f>
      </x:c>
      <x:c r="H36" s="35" t="str">
        <x:f>IF($C36="","",O35)</x:f>
      </x:c>
      <x:c r="I36" s="35" t="str">
        <x:f>IF($C36="","",G36*'Inputs'!$E$59)</x:f>
      </x:c>
      <x:c r="J36" s="35" t="str">
        <x:f>IF($C36="","",MAX(0,D36))</x:f>
      </x:c>
      <x:c r="K36" s="35" t="str">
        <x:f>IF($C36="","",MIN(J36,SUM(H36:I36)))</x:f>
      </x:c>
      <x:c r="L36" s="35" t="str">
        <x:f>IF($C36="","",J36-K36)</x:f>
      </x:c>
      <x:c r="M36" s="35" t="str">
        <x:f>IF($C36="","",L36*$E$13)</x:f>
      </x:c>
      <x:c r="N36" s="35" t="str">
        <x:f>IF($C36="","",L36*$E$14)</x:f>
      </x:c>
      <x:c r="O36" s="35" t="str">
        <x:f>IF($C36="","",SUM(H36:I36)-K36)</x:f>
      </x:c>
      <x:c r="P36" s="35" t="str">
        <x:f>IF($C36="","",G36+E36)</x:f>
      </x:c>
      <x:c r="Q36" s="35" t="str">
        <x:f>IF($C36="","",Q35+F36)</x:f>
      </x:c>
      <x:c r="R36" s="35" t="str">
        <x:f>IF($C36="","",SUM(K36,M36))</x:f>
      </x:c>
      <x:c r="S36" s="35" t="str">
        <x:f>IF($C36="","",N36)</x:f>
      </x:c>
      <x:c r="T36" s="2"/>
      <x:c r="U36" s="71" t="str">
        <x:f>IF($C36="","",C36)</x:f>
      </x:c>
      <x:c r="V36" s="35" t="n">
        <x:f>IF($C36="",0,AB36-AA36)</x:f>
        <x:v>0</x:v>
      </x:c>
      <x:c r="W36" s="71" t="str">
        <x:f>IF($C36="","",IF(V36=0,W35,SIGN(V36)))</x:f>
      </x:c>
      <x:c r="X36" s="71" t="str">
        <x:f>IF($C36="","",IF(AND(V36&lt;&gt;0,W35&lt;&gt;0,W36&lt;&gt;W35),1,0))</x:f>
      </x:c>
      <x:c r="Y36" s="35" t="str">
        <x:f>IF($C36="","",IF(C36='Inputs'!$E$45,$E$77,0))</x:f>
      </x:c>
      <x:c r="Z36" s="35" t="str">
        <x:f>IF($C36="","",IF(C36='Inputs'!$E$45,$E$78,0))</x:f>
      </x:c>
      <x:c r="AA36" s="35" t="str">
        <x:f>IF($C36="","",E36+IF(C36='Inputs'!$E$45,$E$65,0))</x:f>
      </x:c>
      <x:c r="AB36" s="35" t="str">
        <x:f>IF($C36="","",SUM(R36,Y36))</x:f>
      </x:c>
      <x:c r="AC36" s="35" t="str">
        <x:f>IF($C36="","",F36+IF(C36='Inputs'!$E$45,$E$66,0))</x:f>
      </x:c>
      <x:c r="AD36" s="35" t="str">
        <x:f>IF($C36="","",SUM(S36,Z36))</x:f>
      </x:c>
      <x:c r="AE36" s="35" t="str">
        <x:f>IF($C36="","",'Annual Projection'!G19*'Inputs'!$E$62)</x:f>
      </x:c>
    </x:row>
    <x:row r="37" ht="23" customHeight="1">
      <x:c r="C37" s="47" t="str">
        <x:f>IF(AND('Inputs'!$E$56="On",11&lt;='Inputs'!$E$45),11,"")</x:f>
      </x:c>
      <x:c r="D37" s="35" t="str">
        <x:f>IF($C37="","",'Annual Projection'!N20)</x:f>
      </x:c>
      <x:c r="E37" s="35" t="str">
        <x:f>IF($C37="","",MAX(0,-D37)*'Inputs'!$E$57)</x:f>
      </x:c>
      <x:c r="F37" s="35" t="str">
        <x:f>IF($C37="","",MAX(0,-D37)*(1-'Inputs'!$E$57))</x:f>
      </x:c>
      <x:c r="G37" s="35" t="str">
        <x:f>IF($C37="","",P36)</x:f>
      </x:c>
      <x:c r="H37" s="35" t="str">
        <x:f>IF($C37="","",O36)</x:f>
      </x:c>
      <x:c r="I37" s="35" t="str">
        <x:f>IF($C37="","",G37*'Inputs'!$E$59)</x:f>
      </x:c>
      <x:c r="J37" s="35" t="str">
        <x:f>IF($C37="","",MAX(0,D37))</x:f>
      </x:c>
      <x:c r="K37" s="35" t="str">
        <x:f>IF($C37="","",MIN(J37,SUM(H37:I37)))</x:f>
      </x:c>
      <x:c r="L37" s="35" t="str">
        <x:f>IF($C37="","",J37-K37)</x:f>
      </x:c>
      <x:c r="M37" s="35" t="str">
        <x:f>IF($C37="","",L37*$E$13)</x:f>
      </x:c>
      <x:c r="N37" s="35" t="str">
        <x:f>IF($C37="","",L37*$E$14)</x:f>
      </x:c>
      <x:c r="O37" s="35" t="str">
        <x:f>IF($C37="","",SUM(H37:I37)-K37)</x:f>
      </x:c>
      <x:c r="P37" s="35" t="str">
        <x:f>IF($C37="","",G37+E37)</x:f>
      </x:c>
      <x:c r="Q37" s="35" t="str">
        <x:f>IF($C37="","",Q36+F37)</x:f>
      </x:c>
      <x:c r="R37" s="35" t="str">
        <x:f>IF($C37="","",SUM(K37,M37))</x:f>
      </x:c>
      <x:c r="S37" s="35" t="str">
        <x:f>IF($C37="","",N37)</x:f>
      </x:c>
      <x:c r="T37" s="2"/>
      <x:c r="U37" s="71" t="str">
        <x:f>IF($C37="","",C37)</x:f>
      </x:c>
      <x:c r="V37" s="35" t="n">
        <x:f>IF($C37="",0,AB37-AA37)</x:f>
        <x:v>0</x:v>
      </x:c>
      <x:c r="W37" s="71" t="str">
        <x:f>IF($C37="","",IF(V37=0,W36,SIGN(V37)))</x:f>
      </x:c>
      <x:c r="X37" s="71" t="str">
        <x:f>IF($C37="","",IF(AND(V37&lt;&gt;0,W36&lt;&gt;0,W37&lt;&gt;W36),1,0))</x:f>
      </x:c>
      <x:c r="Y37" s="35" t="str">
        <x:f>IF($C37="","",IF(C37='Inputs'!$E$45,$E$77,0))</x:f>
      </x:c>
      <x:c r="Z37" s="35" t="str">
        <x:f>IF($C37="","",IF(C37='Inputs'!$E$45,$E$78,0))</x:f>
      </x:c>
      <x:c r="AA37" s="35" t="str">
        <x:f>IF($C37="","",E37+IF(C37='Inputs'!$E$45,$E$65,0))</x:f>
      </x:c>
      <x:c r="AB37" s="35" t="str">
        <x:f>IF($C37="","",SUM(R37,Y37))</x:f>
      </x:c>
      <x:c r="AC37" s="35" t="str">
        <x:f>IF($C37="","",F37+IF(C37='Inputs'!$E$45,$E$66,0))</x:f>
      </x:c>
      <x:c r="AD37" s="35" t="str">
        <x:f>IF($C37="","",SUM(S37,Z37))</x:f>
      </x:c>
      <x:c r="AE37" s="35" t="str">
        <x:f>IF($C37="","",'Annual Projection'!G20*'Inputs'!$E$62)</x:f>
      </x:c>
    </x:row>
    <x:row r="38" ht="23" customHeight="1">
      <x:c r="C38" s="47" t="str">
        <x:f>IF(AND('Inputs'!$E$56="On",12&lt;='Inputs'!$E$45),12,"")</x:f>
      </x:c>
      <x:c r="D38" s="35" t="str">
        <x:f>IF($C38="","",'Annual Projection'!N21)</x:f>
      </x:c>
      <x:c r="E38" s="35" t="str">
        <x:f>IF($C38="","",MAX(0,-D38)*'Inputs'!$E$57)</x:f>
      </x:c>
      <x:c r="F38" s="35" t="str">
        <x:f>IF($C38="","",MAX(0,-D38)*(1-'Inputs'!$E$57))</x:f>
      </x:c>
      <x:c r="G38" s="35" t="str">
        <x:f>IF($C38="","",P37)</x:f>
      </x:c>
      <x:c r="H38" s="35" t="str">
        <x:f>IF($C38="","",O37)</x:f>
      </x:c>
      <x:c r="I38" s="35" t="str">
        <x:f>IF($C38="","",G38*'Inputs'!$E$59)</x:f>
      </x:c>
      <x:c r="J38" s="35" t="str">
        <x:f>IF($C38="","",MAX(0,D38))</x:f>
      </x:c>
      <x:c r="K38" s="35" t="str">
        <x:f>IF($C38="","",MIN(J38,SUM(H38:I38)))</x:f>
      </x:c>
      <x:c r="L38" s="35" t="str">
        <x:f>IF($C38="","",J38-K38)</x:f>
      </x:c>
      <x:c r="M38" s="35" t="str">
        <x:f>IF($C38="","",L38*$E$13)</x:f>
      </x:c>
      <x:c r="N38" s="35" t="str">
        <x:f>IF($C38="","",L38*$E$14)</x:f>
      </x:c>
      <x:c r="O38" s="35" t="str">
        <x:f>IF($C38="","",SUM(H38:I38)-K38)</x:f>
      </x:c>
      <x:c r="P38" s="35" t="str">
        <x:f>IF($C38="","",G38+E38)</x:f>
      </x:c>
      <x:c r="Q38" s="35" t="str">
        <x:f>IF($C38="","",Q37+F38)</x:f>
      </x:c>
      <x:c r="R38" s="35" t="str">
        <x:f>IF($C38="","",SUM(K38,M38))</x:f>
      </x:c>
      <x:c r="S38" s="35" t="str">
        <x:f>IF($C38="","",N38)</x:f>
      </x:c>
      <x:c r="T38" s="2"/>
      <x:c r="U38" s="71" t="str">
        <x:f>IF($C38="","",C38)</x:f>
      </x:c>
      <x:c r="V38" s="35" t="n">
        <x:f>IF($C38="",0,AB38-AA38)</x:f>
        <x:v>0</x:v>
      </x:c>
      <x:c r="W38" s="71" t="str">
        <x:f>IF($C38="","",IF(V38=0,W37,SIGN(V38)))</x:f>
      </x:c>
      <x:c r="X38" s="71" t="str">
        <x:f>IF($C38="","",IF(AND(V38&lt;&gt;0,W37&lt;&gt;0,W38&lt;&gt;W37),1,0))</x:f>
      </x:c>
      <x:c r="Y38" s="35" t="str">
        <x:f>IF($C38="","",IF(C38='Inputs'!$E$45,$E$77,0))</x:f>
      </x:c>
      <x:c r="Z38" s="35" t="str">
        <x:f>IF($C38="","",IF(C38='Inputs'!$E$45,$E$78,0))</x:f>
      </x:c>
      <x:c r="AA38" s="35" t="str">
        <x:f>IF($C38="","",E38+IF(C38='Inputs'!$E$45,$E$65,0))</x:f>
      </x:c>
      <x:c r="AB38" s="35" t="str">
        <x:f>IF($C38="","",SUM(R38,Y38))</x:f>
      </x:c>
      <x:c r="AC38" s="35" t="str">
        <x:f>IF($C38="","",F38+IF(C38='Inputs'!$E$45,$E$66,0))</x:f>
      </x:c>
      <x:c r="AD38" s="35" t="str">
        <x:f>IF($C38="","",SUM(S38,Z38))</x:f>
      </x:c>
      <x:c r="AE38" s="35" t="str">
        <x:f>IF($C38="","",'Annual Projection'!G21*'Inputs'!$E$62)</x:f>
      </x:c>
    </x:row>
    <x:row r="39" ht="23" customHeight="1">
      <x:c r="C39" s="47" t="str">
        <x:f>IF(AND('Inputs'!$E$56="On",13&lt;='Inputs'!$E$45),13,"")</x:f>
      </x:c>
      <x:c r="D39" s="35" t="str">
        <x:f>IF($C39="","",'Annual Projection'!N22)</x:f>
      </x:c>
      <x:c r="E39" s="35" t="str">
        <x:f>IF($C39="","",MAX(0,-D39)*'Inputs'!$E$57)</x:f>
      </x:c>
      <x:c r="F39" s="35" t="str">
        <x:f>IF($C39="","",MAX(0,-D39)*(1-'Inputs'!$E$57))</x:f>
      </x:c>
      <x:c r="G39" s="35" t="str">
        <x:f>IF($C39="","",P38)</x:f>
      </x:c>
      <x:c r="H39" s="35" t="str">
        <x:f>IF($C39="","",O38)</x:f>
      </x:c>
      <x:c r="I39" s="35" t="str">
        <x:f>IF($C39="","",G39*'Inputs'!$E$59)</x:f>
      </x:c>
      <x:c r="J39" s="35" t="str">
        <x:f>IF($C39="","",MAX(0,D39))</x:f>
      </x:c>
      <x:c r="K39" s="35" t="str">
        <x:f>IF($C39="","",MIN(J39,SUM(H39:I39)))</x:f>
      </x:c>
      <x:c r="L39" s="35" t="str">
        <x:f>IF($C39="","",J39-K39)</x:f>
      </x:c>
      <x:c r="M39" s="35" t="str">
        <x:f>IF($C39="","",L39*$E$13)</x:f>
      </x:c>
      <x:c r="N39" s="35" t="str">
        <x:f>IF($C39="","",L39*$E$14)</x:f>
      </x:c>
      <x:c r="O39" s="35" t="str">
        <x:f>IF($C39="","",SUM(H39:I39)-K39)</x:f>
      </x:c>
      <x:c r="P39" s="35" t="str">
        <x:f>IF($C39="","",G39+E39)</x:f>
      </x:c>
      <x:c r="Q39" s="35" t="str">
        <x:f>IF($C39="","",Q38+F39)</x:f>
      </x:c>
      <x:c r="R39" s="35" t="str">
        <x:f>IF($C39="","",SUM(K39,M39))</x:f>
      </x:c>
      <x:c r="S39" s="35" t="str">
        <x:f>IF($C39="","",N39)</x:f>
      </x:c>
      <x:c r="T39" s="2"/>
      <x:c r="U39" s="71" t="str">
        <x:f>IF($C39="","",C39)</x:f>
      </x:c>
      <x:c r="V39" s="35" t="n">
        <x:f>IF($C39="",0,AB39-AA39)</x:f>
        <x:v>0</x:v>
      </x:c>
      <x:c r="W39" s="71" t="str">
        <x:f>IF($C39="","",IF(V39=0,W38,SIGN(V39)))</x:f>
      </x:c>
      <x:c r="X39" s="71" t="str">
        <x:f>IF($C39="","",IF(AND(V39&lt;&gt;0,W38&lt;&gt;0,W39&lt;&gt;W38),1,0))</x:f>
      </x:c>
      <x:c r="Y39" s="35" t="str">
        <x:f>IF($C39="","",IF(C39='Inputs'!$E$45,$E$77,0))</x:f>
      </x:c>
      <x:c r="Z39" s="35" t="str">
        <x:f>IF($C39="","",IF(C39='Inputs'!$E$45,$E$78,0))</x:f>
      </x:c>
      <x:c r="AA39" s="35" t="str">
        <x:f>IF($C39="","",E39+IF(C39='Inputs'!$E$45,$E$65,0))</x:f>
      </x:c>
      <x:c r="AB39" s="35" t="str">
        <x:f>IF($C39="","",SUM(R39,Y39))</x:f>
      </x:c>
      <x:c r="AC39" s="35" t="str">
        <x:f>IF($C39="","",F39+IF(C39='Inputs'!$E$45,$E$66,0))</x:f>
      </x:c>
      <x:c r="AD39" s="35" t="str">
        <x:f>IF($C39="","",SUM(S39,Z39))</x:f>
      </x:c>
      <x:c r="AE39" s="35" t="str">
        <x:f>IF($C39="","",'Annual Projection'!G22*'Inputs'!$E$62)</x:f>
      </x:c>
    </x:row>
    <x:row r="40" ht="23" customHeight="1">
      <x:c r="C40" s="47" t="str">
        <x:f>IF(AND('Inputs'!$E$56="On",14&lt;='Inputs'!$E$45),14,"")</x:f>
      </x:c>
      <x:c r="D40" s="35" t="str">
        <x:f>IF($C40="","",'Annual Projection'!N23)</x:f>
      </x:c>
      <x:c r="E40" s="35" t="str">
        <x:f>IF($C40="","",MAX(0,-D40)*'Inputs'!$E$57)</x:f>
      </x:c>
      <x:c r="F40" s="35" t="str">
        <x:f>IF($C40="","",MAX(0,-D40)*(1-'Inputs'!$E$57))</x:f>
      </x:c>
      <x:c r="G40" s="35" t="str">
        <x:f>IF($C40="","",P39)</x:f>
      </x:c>
      <x:c r="H40" s="35" t="str">
        <x:f>IF($C40="","",O39)</x:f>
      </x:c>
      <x:c r="I40" s="35" t="str">
        <x:f>IF($C40="","",G40*'Inputs'!$E$59)</x:f>
      </x:c>
      <x:c r="J40" s="35" t="str">
        <x:f>IF($C40="","",MAX(0,D40))</x:f>
      </x:c>
      <x:c r="K40" s="35" t="str">
        <x:f>IF($C40="","",MIN(J40,SUM(H40:I40)))</x:f>
      </x:c>
      <x:c r="L40" s="35" t="str">
        <x:f>IF($C40="","",J40-K40)</x:f>
      </x:c>
      <x:c r="M40" s="35" t="str">
        <x:f>IF($C40="","",L40*$E$13)</x:f>
      </x:c>
      <x:c r="N40" s="35" t="str">
        <x:f>IF($C40="","",L40*$E$14)</x:f>
      </x:c>
      <x:c r="O40" s="35" t="str">
        <x:f>IF($C40="","",SUM(H40:I40)-K40)</x:f>
      </x:c>
      <x:c r="P40" s="35" t="str">
        <x:f>IF($C40="","",G40+E40)</x:f>
      </x:c>
      <x:c r="Q40" s="35" t="str">
        <x:f>IF($C40="","",Q39+F40)</x:f>
      </x:c>
      <x:c r="R40" s="35" t="str">
        <x:f>IF($C40="","",SUM(K40,M40))</x:f>
      </x:c>
      <x:c r="S40" s="35" t="str">
        <x:f>IF($C40="","",N40)</x:f>
      </x:c>
      <x:c r="T40" s="2"/>
      <x:c r="U40" s="71" t="str">
        <x:f>IF($C40="","",C40)</x:f>
      </x:c>
      <x:c r="V40" s="35" t="n">
        <x:f>IF($C40="",0,AB40-AA40)</x:f>
        <x:v>0</x:v>
      </x:c>
      <x:c r="W40" s="71" t="str">
        <x:f>IF($C40="","",IF(V40=0,W39,SIGN(V40)))</x:f>
      </x:c>
      <x:c r="X40" s="71" t="str">
        <x:f>IF($C40="","",IF(AND(V40&lt;&gt;0,W39&lt;&gt;0,W40&lt;&gt;W39),1,0))</x:f>
      </x:c>
      <x:c r="Y40" s="35" t="str">
        <x:f>IF($C40="","",IF(C40='Inputs'!$E$45,$E$77,0))</x:f>
      </x:c>
      <x:c r="Z40" s="35" t="str">
        <x:f>IF($C40="","",IF(C40='Inputs'!$E$45,$E$78,0))</x:f>
      </x:c>
      <x:c r="AA40" s="35" t="str">
        <x:f>IF($C40="","",E40+IF(C40='Inputs'!$E$45,$E$65,0))</x:f>
      </x:c>
      <x:c r="AB40" s="35" t="str">
        <x:f>IF($C40="","",SUM(R40,Y40))</x:f>
      </x:c>
      <x:c r="AC40" s="35" t="str">
        <x:f>IF($C40="","",F40+IF(C40='Inputs'!$E$45,$E$66,0))</x:f>
      </x:c>
      <x:c r="AD40" s="35" t="str">
        <x:f>IF($C40="","",SUM(S40,Z40))</x:f>
      </x:c>
      <x:c r="AE40" s="35" t="str">
        <x:f>IF($C40="","",'Annual Projection'!G23*'Inputs'!$E$62)</x:f>
      </x:c>
    </x:row>
    <x:row r="41" ht="23" customHeight="1">
      <x:c r="C41" s="47" t="str">
        <x:f>IF(AND('Inputs'!$E$56="On",15&lt;='Inputs'!$E$45),15,"")</x:f>
      </x:c>
      <x:c r="D41" s="35" t="str">
        <x:f>IF($C41="","",'Annual Projection'!N24)</x:f>
      </x:c>
      <x:c r="E41" s="35" t="str">
        <x:f>IF($C41="","",MAX(0,-D41)*'Inputs'!$E$57)</x:f>
      </x:c>
      <x:c r="F41" s="35" t="str">
        <x:f>IF($C41="","",MAX(0,-D41)*(1-'Inputs'!$E$57))</x:f>
      </x:c>
      <x:c r="G41" s="35" t="str">
        <x:f>IF($C41="","",P40)</x:f>
      </x:c>
      <x:c r="H41" s="35" t="str">
        <x:f>IF($C41="","",O40)</x:f>
      </x:c>
      <x:c r="I41" s="35" t="str">
        <x:f>IF($C41="","",G41*'Inputs'!$E$59)</x:f>
      </x:c>
      <x:c r="J41" s="35" t="str">
        <x:f>IF($C41="","",MAX(0,D41))</x:f>
      </x:c>
      <x:c r="K41" s="35" t="str">
        <x:f>IF($C41="","",MIN(J41,SUM(H41:I41)))</x:f>
      </x:c>
      <x:c r="L41" s="35" t="str">
        <x:f>IF($C41="","",J41-K41)</x:f>
      </x:c>
      <x:c r="M41" s="35" t="str">
        <x:f>IF($C41="","",L41*$E$13)</x:f>
      </x:c>
      <x:c r="N41" s="35" t="str">
        <x:f>IF($C41="","",L41*$E$14)</x:f>
      </x:c>
      <x:c r="O41" s="35" t="str">
        <x:f>IF($C41="","",SUM(H41:I41)-K41)</x:f>
      </x:c>
      <x:c r="P41" s="35" t="str">
        <x:f>IF($C41="","",G41+E41)</x:f>
      </x:c>
      <x:c r="Q41" s="35" t="str">
        <x:f>IF($C41="","",Q40+F41)</x:f>
      </x:c>
      <x:c r="R41" s="35" t="str">
        <x:f>IF($C41="","",SUM(K41,M41))</x:f>
      </x:c>
      <x:c r="S41" s="35" t="str">
        <x:f>IF($C41="","",N41)</x:f>
      </x:c>
      <x:c r="T41" s="2"/>
      <x:c r="U41" s="71" t="str">
        <x:f>IF($C41="","",C41)</x:f>
      </x:c>
      <x:c r="V41" s="35" t="n">
        <x:f>IF($C41="",0,AB41-AA41)</x:f>
        <x:v>0</x:v>
      </x:c>
      <x:c r="W41" s="71" t="str">
        <x:f>IF($C41="","",IF(V41=0,W40,SIGN(V41)))</x:f>
      </x:c>
      <x:c r="X41" s="71" t="str">
        <x:f>IF($C41="","",IF(AND(V41&lt;&gt;0,W40&lt;&gt;0,W41&lt;&gt;W40),1,0))</x:f>
      </x:c>
      <x:c r="Y41" s="35" t="str">
        <x:f>IF($C41="","",IF(C41='Inputs'!$E$45,$E$77,0))</x:f>
      </x:c>
      <x:c r="Z41" s="35" t="str">
        <x:f>IF($C41="","",IF(C41='Inputs'!$E$45,$E$78,0))</x:f>
      </x:c>
      <x:c r="AA41" s="35" t="str">
        <x:f>IF($C41="","",E41+IF(C41='Inputs'!$E$45,$E$65,0))</x:f>
      </x:c>
      <x:c r="AB41" s="35" t="str">
        <x:f>IF($C41="","",SUM(R41,Y41))</x:f>
      </x:c>
      <x:c r="AC41" s="35" t="str">
        <x:f>IF($C41="","",F41+IF(C41='Inputs'!$E$45,$E$66,0))</x:f>
      </x:c>
      <x:c r="AD41" s="35" t="str">
        <x:f>IF($C41="","",SUM(S41,Z41))</x:f>
      </x:c>
      <x:c r="AE41" s="35" t="str">
        <x:f>IF($C41="","",'Annual Projection'!G24*'Inputs'!$E$62)</x:f>
      </x:c>
    </x:row>
    <x:row r="42" ht="23" customHeight="1">
      <x:c r="C42" s="47" t="str">
        <x:f>IF(AND('Inputs'!$E$56="On",16&lt;='Inputs'!$E$45),16,"")</x:f>
      </x:c>
      <x:c r="D42" s="35" t="str">
        <x:f>IF($C42="","",'Annual Projection'!N25)</x:f>
      </x:c>
      <x:c r="E42" s="35" t="str">
        <x:f>IF($C42="","",MAX(0,-D42)*'Inputs'!$E$57)</x:f>
      </x:c>
      <x:c r="F42" s="35" t="str">
        <x:f>IF($C42="","",MAX(0,-D42)*(1-'Inputs'!$E$57))</x:f>
      </x:c>
      <x:c r="G42" s="35" t="str">
        <x:f>IF($C42="","",P41)</x:f>
      </x:c>
      <x:c r="H42" s="35" t="str">
        <x:f>IF($C42="","",O41)</x:f>
      </x:c>
      <x:c r="I42" s="35" t="str">
        <x:f>IF($C42="","",G42*'Inputs'!$E$59)</x:f>
      </x:c>
      <x:c r="J42" s="35" t="str">
        <x:f>IF($C42="","",MAX(0,D42))</x:f>
      </x:c>
      <x:c r="K42" s="35" t="str">
        <x:f>IF($C42="","",MIN(J42,SUM(H42:I42)))</x:f>
      </x:c>
      <x:c r="L42" s="35" t="str">
        <x:f>IF($C42="","",J42-K42)</x:f>
      </x:c>
      <x:c r="M42" s="35" t="str">
        <x:f>IF($C42="","",L42*$E$13)</x:f>
      </x:c>
      <x:c r="N42" s="35" t="str">
        <x:f>IF($C42="","",L42*$E$14)</x:f>
      </x:c>
      <x:c r="O42" s="35" t="str">
        <x:f>IF($C42="","",SUM(H42:I42)-K42)</x:f>
      </x:c>
      <x:c r="P42" s="35" t="str">
        <x:f>IF($C42="","",G42+E42)</x:f>
      </x:c>
      <x:c r="Q42" s="35" t="str">
        <x:f>IF($C42="","",Q41+F42)</x:f>
      </x:c>
      <x:c r="R42" s="35" t="str">
        <x:f>IF($C42="","",SUM(K42,M42))</x:f>
      </x:c>
      <x:c r="S42" s="35" t="str">
        <x:f>IF($C42="","",N42)</x:f>
      </x:c>
      <x:c r="T42" s="2"/>
      <x:c r="U42" s="71" t="str">
        <x:f>IF($C42="","",C42)</x:f>
      </x:c>
      <x:c r="V42" s="35" t="n">
        <x:f>IF($C42="",0,AB42-AA42)</x:f>
        <x:v>0</x:v>
      </x:c>
      <x:c r="W42" s="71" t="str">
        <x:f>IF($C42="","",IF(V42=0,W41,SIGN(V42)))</x:f>
      </x:c>
      <x:c r="X42" s="71" t="str">
        <x:f>IF($C42="","",IF(AND(V42&lt;&gt;0,W41&lt;&gt;0,W42&lt;&gt;W41),1,0))</x:f>
      </x:c>
      <x:c r="Y42" s="35" t="str">
        <x:f>IF($C42="","",IF(C42='Inputs'!$E$45,$E$77,0))</x:f>
      </x:c>
      <x:c r="Z42" s="35" t="str">
        <x:f>IF($C42="","",IF(C42='Inputs'!$E$45,$E$78,0))</x:f>
      </x:c>
      <x:c r="AA42" s="35" t="str">
        <x:f>IF($C42="","",E42+IF(C42='Inputs'!$E$45,$E$65,0))</x:f>
      </x:c>
      <x:c r="AB42" s="35" t="str">
        <x:f>IF($C42="","",SUM(R42,Y42))</x:f>
      </x:c>
      <x:c r="AC42" s="35" t="str">
        <x:f>IF($C42="","",F42+IF(C42='Inputs'!$E$45,$E$66,0))</x:f>
      </x:c>
      <x:c r="AD42" s="35" t="str">
        <x:f>IF($C42="","",SUM(S42,Z42))</x:f>
      </x:c>
      <x:c r="AE42" s="35" t="str">
        <x:f>IF($C42="","",'Annual Projection'!G25*'Inputs'!$E$62)</x:f>
      </x:c>
    </x:row>
    <x:row r="43" ht="23" customHeight="1">
      <x:c r="C43" s="47" t="str">
        <x:f>IF(AND('Inputs'!$E$56="On",17&lt;='Inputs'!$E$45),17,"")</x:f>
      </x:c>
      <x:c r="D43" s="35" t="str">
        <x:f>IF($C43="","",'Annual Projection'!N26)</x:f>
      </x:c>
      <x:c r="E43" s="35" t="str">
        <x:f>IF($C43="","",MAX(0,-D43)*'Inputs'!$E$57)</x:f>
      </x:c>
      <x:c r="F43" s="35" t="str">
        <x:f>IF($C43="","",MAX(0,-D43)*(1-'Inputs'!$E$57))</x:f>
      </x:c>
      <x:c r="G43" s="35" t="str">
        <x:f>IF($C43="","",P42)</x:f>
      </x:c>
      <x:c r="H43" s="35" t="str">
        <x:f>IF($C43="","",O42)</x:f>
      </x:c>
      <x:c r="I43" s="35" t="str">
        <x:f>IF($C43="","",G43*'Inputs'!$E$59)</x:f>
      </x:c>
      <x:c r="J43" s="35" t="str">
        <x:f>IF($C43="","",MAX(0,D43))</x:f>
      </x:c>
      <x:c r="K43" s="35" t="str">
        <x:f>IF($C43="","",MIN(J43,SUM(H43:I43)))</x:f>
      </x:c>
      <x:c r="L43" s="35" t="str">
        <x:f>IF($C43="","",J43-K43)</x:f>
      </x:c>
      <x:c r="M43" s="35" t="str">
        <x:f>IF($C43="","",L43*$E$13)</x:f>
      </x:c>
      <x:c r="N43" s="35" t="str">
        <x:f>IF($C43="","",L43*$E$14)</x:f>
      </x:c>
      <x:c r="O43" s="35" t="str">
        <x:f>IF($C43="","",SUM(H43:I43)-K43)</x:f>
      </x:c>
      <x:c r="P43" s="35" t="str">
        <x:f>IF($C43="","",G43+E43)</x:f>
      </x:c>
      <x:c r="Q43" s="35" t="str">
        <x:f>IF($C43="","",Q42+F43)</x:f>
      </x:c>
      <x:c r="R43" s="35" t="str">
        <x:f>IF($C43="","",SUM(K43,M43))</x:f>
      </x:c>
      <x:c r="S43" s="35" t="str">
        <x:f>IF($C43="","",N43)</x:f>
      </x:c>
      <x:c r="T43" s="2"/>
      <x:c r="U43" s="71" t="str">
        <x:f>IF($C43="","",C43)</x:f>
      </x:c>
      <x:c r="V43" s="35" t="n">
        <x:f>IF($C43="",0,AB43-AA43)</x:f>
        <x:v>0</x:v>
      </x:c>
      <x:c r="W43" s="71" t="str">
        <x:f>IF($C43="","",IF(V43=0,W42,SIGN(V43)))</x:f>
      </x:c>
      <x:c r="X43" s="71" t="str">
        <x:f>IF($C43="","",IF(AND(V43&lt;&gt;0,W42&lt;&gt;0,W43&lt;&gt;W42),1,0))</x:f>
      </x:c>
      <x:c r="Y43" s="35" t="str">
        <x:f>IF($C43="","",IF(C43='Inputs'!$E$45,$E$77,0))</x:f>
      </x:c>
      <x:c r="Z43" s="35" t="str">
        <x:f>IF($C43="","",IF(C43='Inputs'!$E$45,$E$78,0))</x:f>
      </x:c>
      <x:c r="AA43" s="35" t="str">
        <x:f>IF($C43="","",E43+IF(C43='Inputs'!$E$45,$E$65,0))</x:f>
      </x:c>
      <x:c r="AB43" s="35" t="str">
        <x:f>IF($C43="","",SUM(R43,Y43))</x:f>
      </x:c>
      <x:c r="AC43" s="35" t="str">
        <x:f>IF($C43="","",F43+IF(C43='Inputs'!$E$45,$E$66,0))</x:f>
      </x:c>
      <x:c r="AD43" s="35" t="str">
        <x:f>IF($C43="","",SUM(S43,Z43))</x:f>
      </x:c>
      <x:c r="AE43" s="35" t="str">
        <x:f>IF($C43="","",'Annual Projection'!G26*'Inputs'!$E$62)</x:f>
      </x:c>
    </x:row>
    <x:row r="44" ht="23" customHeight="1">
      <x:c r="C44" s="47" t="str">
        <x:f>IF(AND('Inputs'!$E$56="On",18&lt;='Inputs'!$E$45),18,"")</x:f>
      </x:c>
      <x:c r="D44" s="35" t="str">
        <x:f>IF($C44="","",'Annual Projection'!N27)</x:f>
      </x:c>
      <x:c r="E44" s="35" t="str">
        <x:f>IF($C44="","",MAX(0,-D44)*'Inputs'!$E$57)</x:f>
      </x:c>
      <x:c r="F44" s="35" t="str">
        <x:f>IF($C44="","",MAX(0,-D44)*(1-'Inputs'!$E$57))</x:f>
      </x:c>
      <x:c r="G44" s="35" t="str">
        <x:f>IF($C44="","",P43)</x:f>
      </x:c>
      <x:c r="H44" s="35" t="str">
        <x:f>IF($C44="","",O43)</x:f>
      </x:c>
      <x:c r="I44" s="35" t="str">
        <x:f>IF($C44="","",G44*'Inputs'!$E$59)</x:f>
      </x:c>
      <x:c r="J44" s="35" t="str">
        <x:f>IF($C44="","",MAX(0,D44))</x:f>
      </x:c>
      <x:c r="K44" s="35" t="str">
        <x:f>IF($C44="","",MIN(J44,SUM(H44:I44)))</x:f>
      </x:c>
      <x:c r="L44" s="35" t="str">
        <x:f>IF($C44="","",J44-K44)</x:f>
      </x:c>
      <x:c r="M44" s="35" t="str">
        <x:f>IF($C44="","",L44*$E$13)</x:f>
      </x:c>
      <x:c r="N44" s="35" t="str">
        <x:f>IF($C44="","",L44*$E$14)</x:f>
      </x:c>
      <x:c r="O44" s="35" t="str">
        <x:f>IF($C44="","",SUM(H44:I44)-K44)</x:f>
      </x:c>
      <x:c r="P44" s="35" t="str">
        <x:f>IF($C44="","",G44+E44)</x:f>
      </x:c>
      <x:c r="Q44" s="35" t="str">
        <x:f>IF($C44="","",Q43+F44)</x:f>
      </x:c>
      <x:c r="R44" s="35" t="str">
        <x:f>IF($C44="","",SUM(K44,M44))</x:f>
      </x:c>
      <x:c r="S44" s="35" t="str">
        <x:f>IF($C44="","",N44)</x:f>
      </x:c>
      <x:c r="T44" s="2"/>
      <x:c r="U44" s="71" t="str">
        <x:f>IF($C44="","",C44)</x:f>
      </x:c>
      <x:c r="V44" s="35" t="n">
        <x:f>IF($C44="",0,AB44-AA44)</x:f>
        <x:v>0</x:v>
      </x:c>
      <x:c r="W44" s="71" t="str">
        <x:f>IF($C44="","",IF(V44=0,W43,SIGN(V44)))</x:f>
      </x:c>
      <x:c r="X44" s="71" t="str">
        <x:f>IF($C44="","",IF(AND(V44&lt;&gt;0,W43&lt;&gt;0,W44&lt;&gt;W43),1,0))</x:f>
      </x:c>
      <x:c r="Y44" s="35" t="str">
        <x:f>IF($C44="","",IF(C44='Inputs'!$E$45,$E$77,0))</x:f>
      </x:c>
      <x:c r="Z44" s="35" t="str">
        <x:f>IF($C44="","",IF(C44='Inputs'!$E$45,$E$78,0))</x:f>
      </x:c>
      <x:c r="AA44" s="35" t="str">
        <x:f>IF($C44="","",E44+IF(C44='Inputs'!$E$45,$E$65,0))</x:f>
      </x:c>
      <x:c r="AB44" s="35" t="str">
        <x:f>IF($C44="","",SUM(R44,Y44))</x:f>
      </x:c>
      <x:c r="AC44" s="35" t="str">
        <x:f>IF($C44="","",F44+IF(C44='Inputs'!$E$45,$E$66,0))</x:f>
      </x:c>
      <x:c r="AD44" s="35" t="str">
        <x:f>IF($C44="","",SUM(S44,Z44))</x:f>
      </x:c>
      <x:c r="AE44" s="35" t="str">
        <x:f>IF($C44="","",'Annual Projection'!G27*'Inputs'!$E$62)</x:f>
      </x:c>
    </x:row>
    <x:row r="45" ht="23" customHeight="1">
      <x:c r="C45" s="47" t="str">
        <x:f>IF(AND('Inputs'!$E$56="On",19&lt;='Inputs'!$E$45),19,"")</x:f>
      </x:c>
      <x:c r="D45" s="35" t="str">
        <x:f>IF($C45="","",'Annual Projection'!N28)</x:f>
      </x:c>
      <x:c r="E45" s="35" t="str">
        <x:f>IF($C45="","",MAX(0,-D45)*'Inputs'!$E$57)</x:f>
      </x:c>
      <x:c r="F45" s="35" t="str">
        <x:f>IF($C45="","",MAX(0,-D45)*(1-'Inputs'!$E$57))</x:f>
      </x:c>
      <x:c r="G45" s="35" t="str">
        <x:f>IF($C45="","",P44)</x:f>
      </x:c>
      <x:c r="H45" s="35" t="str">
        <x:f>IF($C45="","",O44)</x:f>
      </x:c>
      <x:c r="I45" s="35" t="str">
        <x:f>IF($C45="","",G45*'Inputs'!$E$59)</x:f>
      </x:c>
      <x:c r="J45" s="35" t="str">
        <x:f>IF($C45="","",MAX(0,D45))</x:f>
      </x:c>
      <x:c r="K45" s="35" t="str">
        <x:f>IF($C45="","",MIN(J45,SUM(H45:I45)))</x:f>
      </x:c>
      <x:c r="L45" s="35" t="str">
        <x:f>IF($C45="","",J45-K45)</x:f>
      </x:c>
      <x:c r="M45" s="35" t="str">
        <x:f>IF($C45="","",L45*$E$13)</x:f>
      </x:c>
      <x:c r="N45" s="35" t="str">
        <x:f>IF($C45="","",L45*$E$14)</x:f>
      </x:c>
      <x:c r="O45" s="35" t="str">
        <x:f>IF($C45="","",SUM(H45:I45)-K45)</x:f>
      </x:c>
      <x:c r="P45" s="35" t="str">
        <x:f>IF($C45="","",G45+E45)</x:f>
      </x:c>
      <x:c r="Q45" s="35" t="str">
        <x:f>IF($C45="","",Q44+F45)</x:f>
      </x:c>
      <x:c r="R45" s="35" t="str">
        <x:f>IF($C45="","",SUM(K45,M45))</x:f>
      </x:c>
      <x:c r="S45" s="35" t="str">
        <x:f>IF($C45="","",N45)</x:f>
      </x:c>
      <x:c r="T45" s="2"/>
      <x:c r="U45" s="71" t="str">
        <x:f>IF($C45="","",C45)</x:f>
      </x:c>
      <x:c r="V45" s="35" t="n">
        <x:f>IF($C45="",0,AB45-AA45)</x:f>
        <x:v>0</x:v>
      </x:c>
      <x:c r="W45" s="71" t="str">
        <x:f>IF($C45="","",IF(V45=0,W44,SIGN(V45)))</x:f>
      </x:c>
      <x:c r="X45" s="71" t="str">
        <x:f>IF($C45="","",IF(AND(V45&lt;&gt;0,W44&lt;&gt;0,W45&lt;&gt;W44),1,0))</x:f>
      </x:c>
      <x:c r="Y45" s="35" t="str">
        <x:f>IF($C45="","",IF(C45='Inputs'!$E$45,$E$77,0))</x:f>
      </x:c>
      <x:c r="Z45" s="35" t="str">
        <x:f>IF($C45="","",IF(C45='Inputs'!$E$45,$E$78,0))</x:f>
      </x:c>
      <x:c r="AA45" s="35" t="str">
        <x:f>IF($C45="","",E45+IF(C45='Inputs'!$E$45,$E$65,0))</x:f>
      </x:c>
      <x:c r="AB45" s="35" t="str">
        <x:f>IF($C45="","",SUM(R45,Y45))</x:f>
      </x:c>
      <x:c r="AC45" s="35" t="str">
        <x:f>IF($C45="","",F45+IF(C45='Inputs'!$E$45,$E$66,0))</x:f>
      </x:c>
      <x:c r="AD45" s="35" t="str">
        <x:f>IF($C45="","",SUM(S45,Z45))</x:f>
      </x:c>
      <x:c r="AE45" s="35" t="str">
        <x:f>IF($C45="","",'Annual Projection'!G28*'Inputs'!$E$62)</x:f>
      </x:c>
    </x:row>
    <x:row r="46" ht="23" customHeight="1">
      <x:c r="C46" s="47" t="str">
        <x:f>IF(AND('Inputs'!$E$56="On",20&lt;='Inputs'!$E$45),20,"")</x:f>
      </x:c>
      <x:c r="D46" s="35" t="str">
        <x:f>IF($C46="","",'Annual Projection'!N29)</x:f>
      </x:c>
      <x:c r="E46" s="35" t="str">
        <x:f>IF($C46="","",MAX(0,-D46)*'Inputs'!$E$57)</x:f>
      </x:c>
      <x:c r="F46" s="35" t="str">
        <x:f>IF($C46="","",MAX(0,-D46)*(1-'Inputs'!$E$57))</x:f>
      </x:c>
      <x:c r="G46" s="35" t="str">
        <x:f>IF($C46="","",P45)</x:f>
      </x:c>
      <x:c r="H46" s="35" t="str">
        <x:f>IF($C46="","",O45)</x:f>
      </x:c>
      <x:c r="I46" s="35" t="str">
        <x:f>IF($C46="","",G46*'Inputs'!$E$59)</x:f>
      </x:c>
      <x:c r="J46" s="35" t="str">
        <x:f>IF($C46="","",MAX(0,D46))</x:f>
      </x:c>
      <x:c r="K46" s="35" t="str">
        <x:f>IF($C46="","",MIN(J46,SUM(H46:I46)))</x:f>
      </x:c>
      <x:c r="L46" s="35" t="str">
        <x:f>IF($C46="","",J46-K46)</x:f>
      </x:c>
      <x:c r="M46" s="35" t="str">
        <x:f>IF($C46="","",L46*$E$13)</x:f>
      </x:c>
      <x:c r="N46" s="35" t="str">
        <x:f>IF($C46="","",L46*$E$14)</x:f>
      </x:c>
      <x:c r="O46" s="35" t="str">
        <x:f>IF($C46="","",SUM(H46:I46)-K46)</x:f>
      </x:c>
      <x:c r="P46" s="35" t="str">
        <x:f>IF($C46="","",G46+E46)</x:f>
      </x:c>
      <x:c r="Q46" s="35" t="str">
        <x:f>IF($C46="","",Q45+F46)</x:f>
      </x:c>
      <x:c r="R46" s="35" t="str">
        <x:f>IF($C46="","",SUM(K46,M46))</x:f>
      </x:c>
      <x:c r="S46" s="35" t="str">
        <x:f>IF($C46="","",N46)</x:f>
      </x:c>
      <x:c r="T46" s="2"/>
      <x:c r="U46" s="71" t="str">
        <x:f>IF($C46="","",C46)</x:f>
      </x:c>
      <x:c r="V46" s="35" t="n">
        <x:f>IF($C46="",0,AB46-AA46)</x:f>
        <x:v>0</x:v>
      </x:c>
      <x:c r="W46" s="71" t="str">
        <x:f>IF($C46="","",IF(V46=0,W45,SIGN(V46)))</x:f>
      </x:c>
      <x:c r="X46" s="71" t="str">
        <x:f>IF($C46="","",IF(AND(V46&lt;&gt;0,W45&lt;&gt;0,W46&lt;&gt;W45),1,0))</x:f>
      </x:c>
      <x:c r="Y46" s="35" t="str">
        <x:f>IF($C46="","",IF(C46='Inputs'!$E$45,$E$77,0))</x:f>
      </x:c>
      <x:c r="Z46" s="35" t="str">
        <x:f>IF($C46="","",IF(C46='Inputs'!$E$45,$E$78,0))</x:f>
      </x:c>
      <x:c r="AA46" s="35" t="str">
        <x:f>IF($C46="","",E46+IF(C46='Inputs'!$E$45,$E$65,0))</x:f>
      </x:c>
      <x:c r="AB46" s="35" t="str">
        <x:f>IF($C46="","",SUM(R46,Y46))</x:f>
      </x:c>
      <x:c r="AC46" s="35" t="str">
        <x:f>IF($C46="","",F46+IF(C46='Inputs'!$E$45,$E$66,0))</x:f>
      </x:c>
      <x:c r="AD46" s="35" t="str">
        <x:f>IF($C46="","",SUM(S46,Z46))</x:f>
      </x:c>
      <x:c r="AE46" s="35" t="str">
        <x:f>IF($C46="","",'Annual Projection'!G29*'Inputs'!$E$62)</x:f>
      </x:c>
    </x:row>
    <x:row r="47" ht="23" customHeight="1">
      <x:c r="C47" s="47" t="str">
        <x:f>IF(AND('Inputs'!$E$56="On",21&lt;='Inputs'!$E$45),21,"")</x:f>
      </x:c>
      <x:c r="D47" s="35" t="str">
        <x:f>IF($C47="","",'Annual Projection'!N30)</x:f>
      </x:c>
      <x:c r="E47" s="35" t="str">
        <x:f>IF($C47="","",MAX(0,-D47)*'Inputs'!$E$57)</x:f>
      </x:c>
      <x:c r="F47" s="35" t="str">
        <x:f>IF($C47="","",MAX(0,-D47)*(1-'Inputs'!$E$57))</x:f>
      </x:c>
      <x:c r="G47" s="35" t="str">
        <x:f>IF($C47="","",P46)</x:f>
      </x:c>
      <x:c r="H47" s="35" t="str">
        <x:f>IF($C47="","",O46)</x:f>
      </x:c>
      <x:c r="I47" s="35" t="str">
        <x:f>IF($C47="","",G47*'Inputs'!$E$59)</x:f>
      </x:c>
      <x:c r="J47" s="35" t="str">
        <x:f>IF($C47="","",MAX(0,D47))</x:f>
      </x:c>
      <x:c r="K47" s="35" t="str">
        <x:f>IF($C47="","",MIN(J47,SUM(H47:I47)))</x:f>
      </x:c>
      <x:c r="L47" s="35" t="str">
        <x:f>IF($C47="","",J47-K47)</x:f>
      </x:c>
      <x:c r="M47" s="35" t="str">
        <x:f>IF($C47="","",L47*$E$13)</x:f>
      </x:c>
      <x:c r="N47" s="35" t="str">
        <x:f>IF($C47="","",L47*$E$14)</x:f>
      </x:c>
      <x:c r="O47" s="35" t="str">
        <x:f>IF($C47="","",SUM(H47:I47)-K47)</x:f>
      </x:c>
      <x:c r="P47" s="35" t="str">
        <x:f>IF($C47="","",G47+E47)</x:f>
      </x:c>
      <x:c r="Q47" s="35" t="str">
        <x:f>IF($C47="","",Q46+F47)</x:f>
      </x:c>
      <x:c r="R47" s="35" t="str">
        <x:f>IF($C47="","",SUM(K47,M47))</x:f>
      </x:c>
      <x:c r="S47" s="35" t="str">
        <x:f>IF($C47="","",N47)</x:f>
      </x:c>
      <x:c r="T47" s="2"/>
      <x:c r="U47" s="71" t="str">
        <x:f>IF($C47="","",C47)</x:f>
      </x:c>
      <x:c r="V47" s="35" t="n">
        <x:f>IF($C47="",0,AB47-AA47)</x:f>
        <x:v>0</x:v>
      </x:c>
      <x:c r="W47" s="71" t="str">
        <x:f>IF($C47="","",IF(V47=0,W46,SIGN(V47)))</x:f>
      </x:c>
      <x:c r="X47" s="71" t="str">
        <x:f>IF($C47="","",IF(AND(V47&lt;&gt;0,W46&lt;&gt;0,W47&lt;&gt;W46),1,0))</x:f>
      </x:c>
      <x:c r="Y47" s="35" t="str">
        <x:f>IF($C47="","",IF(C47='Inputs'!$E$45,$E$77,0))</x:f>
      </x:c>
      <x:c r="Z47" s="35" t="str">
        <x:f>IF($C47="","",IF(C47='Inputs'!$E$45,$E$78,0))</x:f>
      </x:c>
      <x:c r="AA47" s="35" t="str">
        <x:f>IF($C47="","",E47+IF(C47='Inputs'!$E$45,$E$65,0))</x:f>
      </x:c>
      <x:c r="AB47" s="35" t="str">
        <x:f>IF($C47="","",SUM(R47,Y47))</x:f>
      </x:c>
      <x:c r="AC47" s="35" t="str">
        <x:f>IF($C47="","",F47+IF(C47='Inputs'!$E$45,$E$66,0))</x:f>
      </x:c>
      <x:c r="AD47" s="35" t="str">
        <x:f>IF($C47="","",SUM(S47,Z47))</x:f>
      </x:c>
      <x:c r="AE47" s="35" t="str">
        <x:f>IF($C47="","",'Annual Projection'!G30*'Inputs'!$E$62)</x:f>
      </x:c>
    </x:row>
    <x:row r="48" ht="23" customHeight="1">
      <x:c r="C48" s="47" t="str">
        <x:f>IF(AND('Inputs'!$E$56="On",22&lt;='Inputs'!$E$45),22,"")</x:f>
      </x:c>
      <x:c r="D48" s="35" t="str">
        <x:f>IF($C48="","",'Annual Projection'!N31)</x:f>
      </x:c>
      <x:c r="E48" s="35" t="str">
        <x:f>IF($C48="","",MAX(0,-D48)*'Inputs'!$E$57)</x:f>
      </x:c>
      <x:c r="F48" s="35" t="str">
        <x:f>IF($C48="","",MAX(0,-D48)*(1-'Inputs'!$E$57))</x:f>
      </x:c>
      <x:c r="G48" s="35" t="str">
        <x:f>IF($C48="","",P47)</x:f>
      </x:c>
      <x:c r="H48" s="35" t="str">
        <x:f>IF($C48="","",O47)</x:f>
      </x:c>
      <x:c r="I48" s="35" t="str">
        <x:f>IF($C48="","",G48*'Inputs'!$E$59)</x:f>
      </x:c>
      <x:c r="J48" s="35" t="str">
        <x:f>IF($C48="","",MAX(0,D48))</x:f>
      </x:c>
      <x:c r="K48" s="35" t="str">
        <x:f>IF($C48="","",MIN(J48,SUM(H48:I48)))</x:f>
      </x:c>
      <x:c r="L48" s="35" t="str">
        <x:f>IF($C48="","",J48-K48)</x:f>
      </x:c>
      <x:c r="M48" s="35" t="str">
        <x:f>IF($C48="","",L48*$E$13)</x:f>
      </x:c>
      <x:c r="N48" s="35" t="str">
        <x:f>IF($C48="","",L48*$E$14)</x:f>
      </x:c>
      <x:c r="O48" s="35" t="str">
        <x:f>IF($C48="","",SUM(H48:I48)-K48)</x:f>
      </x:c>
      <x:c r="P48" s="35" t="str">
        <x:f>IF($C48="","",G48+E48)</x:f>
      </x:c>
      <x:c r="Q48" s="35" t="str">
        <x:f>IF($C48="","",Q47+F48)</x:f>
      </x:c>
      <x:c r="R48" s="35" t="str">
        <x:f>IF($C48="","",SUM(K48,M48))</x:f>
      </x:c>
      <x:c r="S48" s="35" t="str">
        <x:f>IF($C48="","",N48)</x:f>
      </x:c>
      <x:c r="T48" s="2"/>
      <x:c r="U48" s="71" t="str">
        <x:f>IF($C48="","",C48)</x:f>
      </x:c>
      <x:c r="V48" s="35" t="n">
        <x:f>IF($C48="",0,AB48-AA48)</x:f>
        <x:v>0</x:v>
      </x:c>
      <x:c r="W48" s="71" t="str">
        <x:f>IF($C48="","",IF(V48=0,W47,SIGN(V48)))</x:f>
      </x:c>
      <x:c r="X48" s="71" t="str">
        <x:f>IF($C48="","",IF(AND(V48&lt;&gt;0,W47&lt;&gt;0,W48&lt;&gt;W47),1,0))</x:f>
      </x:c>
      <x:c r="Y48" s="35" t="str">
        <x:f>IF($C48="","",IF(C48='Inputs'!$E$45,$E$77,0))</x:f>
      </x:c>
      <x:c r="Z48" s="35" t="str">
        <x:f>IF($C48="","",IF(C48='Inputs'!$E$45,$E$78,0))</x:f>
      </x:c>
      <x:c r="AA48" s="35" t="str">
        <x:f>IF($C48="","",E48+IF(C48='Inputs'!$E$45,$E$65,0))</x:f>
      </x:c>
      <x:c r="AB48" s="35" t="str">
        <x:f>IF($C48="","",SUM(R48,Y48))</x:f>
      </x:c>
      <x:c r="AC48" s="35" t="str">
        <x:f>IF($C48="","",F48+IF(C48='Inputs'!$E$45,$E$66,0))</x:f>
      </x:c>
      <x:c r="AD48" s="35" t="str">
        <x:f>IF($C48="","",SUM(S48,Z48))</x:f>
      </x:c>
      <x:c r="AE48" s="35" t="str">
        <x:f>IF($C48="","",'Annual Projection'!G31*'Inputs'!$E$62)</x:f>
      </x:c>
    </x:row>
    <x:row r="49" ht="23" customHeight="1">
      <x:c r="C49" s="47" t="str">
        <x:f>IF(AND('Inputs'!$E$56="On",23&lt;='Inputs'!$E$45),23,"")</x:f>
      </x:c>
      <x:c r="D49" s="35" t="str">
        <x:f>IF($C49="","",'Annual Projection'!N32)</x:f>
      </x:c>
      <x:c r="E49" s="35" t="str">
        <x:f>IF($C49="","",MAX(0,-D49)*'Inputs'!$E$57)</x:f>
      </x:c>
      <x:c r="F49" s="35" t="str">
        <x:f>IF($C49="","",MAX(0,-D49)*(1-'Inputs'!$E$57))</x:f>
      </x:c>
      <x:c r="G49" s="35" t="str">
        <x:f>IF($C49="","",P48)</x:f>
      </x:c>
      <x:c r="H49" s="35" t="str">
        <x:f>IF($C49="","",O48)</x:f>
      </x:c>
      <x:c r="I49" s="35" t="str">
        <x:f>IF($C49="","",G49*'Inputs'!$E$59)</x:f>
      </x:c>
      <x:c r="J49" s="35" t="str">
        <x:f>IF($C49="","",MAX(0,D49))</x:f>
      </x:c>
      <x:c r="K49" s="35" t="str">
        <x:f>IF($C49="","",MIN(J49,SUM(H49:I49)))</x:f>
      </x:c>
      <x:c r="L49" s="35" t="str">
        <x:f>IF($C49="","",J49-K49)</x:f>
      </x:c>
      <x:c r="M49" s="35" t="str">
        <x:f>IF($C49="","",L49*$E$13)</x:f>
      </x:c>
      <x:c r="N49" s="35" t="str">
        <x:f>IF($C49="","",L49*$E$14)</x:f>
      </x:c>
      <x:c r="O49" s="35" t="str">
        <x:f>IF($C49="","",SUM(H49:I49)-K49)</x:f>
      </x:c>
      <x:c r="P49" s="35" t="str">
        <x:f>IF($C49="","",G49+E49)</x:f>
      </x:c>
      <x:c r="Q49" s="35" t="str">
        <x:f>IF($C49="","",Q48+F49)</x:f>
      </x:c>
      <x:c r="R49" s="35" t="str">
        <x:f>IF($C49="","",SUM(K49,M49))</x:f>
      </x:c>
      <x:c r="S49" s="35" t="str">
        <x:f>IF($C49="","",N49)</x:f>
      </x:c>
      <x:c r="T49" s="2"/>
      <x:c r="U49" s="71" t="str">
        <x:f>IF($C49="","",C49)</x:f>
      </x:c>
      <x:c r="V49" s="35" t="n">
        <x:f>IF($C49="",0,AB49-AA49)</x:f>
        <x:v>0</x:v>
      </x:c>
      <x:c r="W49" s="71" t="str">
        <x:f>IF($C49="","",IF(V49=0,W48,SIGN(V49)))</x:f>
      </x:c>
      <x:c r="X49" s="71" t="str">
        <x:f>IF($C49="","",IF(AND(V49&lt;&gt;0,W48&lt;&gt;0,W49&lt;&gt;W48),1,0))</x:f>
      </x:c>
      <x:c r="Y49" s="35" t="str">
        <x:f>IF($C49="","",IF(C49='Inputs'!$E$45,$E$77,0))</x:f>
      </x:c>
      <x:c r="Z49" s="35" t="str">
        <x:f>IF($C49="","",IF(C49='Inputs'!$E$45,$E$78,0))</x:f>
      </x:c>
      <x:c r="AA49" s="35" t="str">
        <x:f>IF($C49="","",E49+IF(C49='Inputs'!$E$45,$E$65,0))</x:f>
      </x:c>
      <x:c r="AB49" s="35" t="str">
        <x:f>IF($C49="","",SUM(R49,Y49))</x:f>
      </x:c>
      <x:c r="AC49" s="35" t="str">
        <x:f>IF($C49="","",F49+IF(C49='Inputs'!$E$45,$E$66,0))</x:f>
      </x:c>
      <x:c r="AD49" s="35" t="str">
        <x:f>IF($C49="","",SUM(S49,Z49))</x:f>
      </x:c>
      <x:c r="AE49" s="35" t="str">
        <x:f>IF($C49="","",'Annual Projection'!G32*'Inputs'!$E$62)</x:f>
      </x:c>
    </x:row>
    <x:row r="50" ht="23" customHeight="1">
      <x:c r="C50" s="47" t="str">
        <x:f>IF(AND('Inputs'!$E$56="On",24&lt;='Inputs'!$E$45),24,"")</x:f>
      </x:c>
      <x:c r="D50" s="35" t="str">
        <x:f>IF($C50="","",'Annual Projection'!N33)</x:f>
      </x:c>
      <x:c r="E50" s="35" t="str">
        <x:f>IF($C50="","",MAX(0,-D50)*'Inputs'!$E$57)</x:f>
      </x:c>
      <x:c r="F50" s="35" t="str">
        <x:f>IF($C50="","",MAX(0,-D50)*(1-'Inputs'!$E$57))</x:f>
      </x:c>
      <x:c r="G50" s="35" t="str">
        <x:f>IF($C50="","",P49)</x:f>
      </x:c>
      <x:c r="H50" s="35" t="str">
        <x:f>IF($C50="","",O49)</x:f>
      </x:c>
      <x:c r="I50" s="35" t="str">
        <x:f>IF($C50="","",G50*'Inputs'!$E$59)</x:f>
      </x:c>
      <x:c r="J50" s="35" t="str">
        <x:f>IF($C50="","",MAX(0,D50))</x:f>
      </x:c>
      <x:c r="K50" s="35" t="str">
        <x:f>IF($C50="","",MIN(J50,SUM(H50:I50)))</x:f>
      </x:c>
      <x:c r="L50" s="35" t="str">
        <x:f>IF($C50="","",J50-K50)</x:f>
      </x:c>
      <x:c r="M50" s="35" t="str">
        <x:f>IF($C50="","",L50*$E$13)</x:f>
      </x:c>
      <x:c r="N50" s="35" t="str">
        <x:f>IF($C50="","",L50*$E$14)</x:f>
      </x:c>
      <x:c r="O50" s="35" t="str">
        <x:f>IF($C50="","",SUM(H50:I50)-K50)</x:f>
      </x:c>
      <x:c r="P50" s="35" t="str">
        <x:f>IF($C50="","",G50+E50)</x:f>
      </x:c>
      <x:c r="Q50" s="35" t="str">
        <x:f>IF($C50="","",Q49+F50)</x:f>
      </x:c>
      <x:c r="R50" s="35" t="str">
        <x:f>IF($C50="","",SUM(K50,M50))</x:f>
      </x:c>
      <x:c r="S50" s="35" t="str">
        <x:f>IF($C50="","",N50)</x:f>
      </x:c>
      <x:c r="T50" s="2"/>
      <x:c r="U50" s="71" t="str">
        <x:f>IF($C50="","",C50)</x:f>
      </x:c>
      <x:c r="V50" s="35" t="n">
        <x:f>IF($C50="",0,AB50-AA50)</x:f>
        <x:v>0</x:v>
      </x:c>
      <x:c r="W50" s="71" t="str">
        <x:f>IF($C50="","",IF(V50=0,W49,SIGN(V50)))</x:f>
      </x:c>
      <x:c r="X50" s="71" t="str">
        <x:f>IF($C50="","",IF(AND(V50&lt;&gt;0,W49&lt;&gt;0,W50&lt;&gt;W49),1,0))</x:f>
      </x:c>
      <x:c r="Y50" s="35" t="str">
        <x:f>IF($C50="","",IF(C50='Inputs'!$E$45,$E$77,0))</x:f>
      </x:c>
      <x:c r="Z50" s="35" t="str">
        <x:f>IF($C50="","",IF(C50='Inputs'!$E$45,$E$78,0))</x:f>
      </x:c>
      <x:c r="AA50" s="35" t="str">
        <x:f>IF($C50="","",E50+IF(C50='Inputs'!$E$45,$E$65,0))</x:f>
      </x:c>
      <x:c r="AB50" s="35" t="str">
        <x:f>IF($C50="","",SUM(R50,Y50))</x:f>
      </x:c>
      <x:c r="AC50" s="35" t="str">
        <x:f>IF($C50="","",F50+IF(C50='Inputs'!$E$45,$E$66,0))</x:f>
      </x:c>
      <x:c r="AD50" s="35" t="str">
        <x:f>IF($C50="","",SUM(S50,Z50))</x:f>
      </x:c>
      <x:c r="AE50" s="35" t="str">
        <x:f>IF($C50="","",'Annual Projection'!G33*'Inputs'!$E$62)</x:f>
      </x:c>
    </x:row>
    <x:row r="51" ht="23" customHeight="1">
      <x:c r="C51" s="47" t="str">
        <x:f>IF(AND('Inputs'!$E$56="On",25&lt;='Inputs'!$E$45),25,"")</x:f>
      </x:c>
      <x:c r="D51" s="35" t="str">
        <x:f>IF($C51="","",'Annual Projection'!N34)</x:f>
      </x:c>
      <x:c r="E51" s="35" t="str">
        <x:f>IF($C51="","",MAX(0,-D51)*'Inputs'!$E$57)</x:f>
      </x:c>
      <x:c r="F51" s="35" t="str">
        <x:f>IF($C51="","",MAX(0,-D51)*(1-'Inputs'!$E$57))</x:f>
      </x:c>
      <x:c r="G51" s="35" t="str">
        <x:f>IF($C51="","",P50)</x:f>
      </x:c>
      <x:c r="H51" s="35" t="str">
        <x:f>IF($C51="","",O50)</x:f>
      </x:c>
      <x:c r="I51" s="35" t="str">
        <x:f>IF($C51="","",G51*'Inputs'!$E$59)</x:f>
      </x:c>
      <x:c r="J51" s="35" t="str">
        <x:f>IF($C51="","",MAX(0,D51))</x:f>
      </x:c>
      <x:c r="K51" s="35" t="str">
        <x:f>IF($C51="","",MIN(J51,SUM(H51:I51)))</x:f>
      </x:c>
      <x:c r="L51" s="35" t="str">
        <x:f>IF($C51="","",J51-K51)</x:f>
      </x:c>
      <x:c r="M51" s="35" t="str">
        <x:f>IF($C51="","",L51*$E$13)</x:f>
      </x:c>
      <x:c r="N51" s="35" t="str">
        <x:f>IF($C51="","",L51*$E$14)</x:f>
      </x:c>
      <x:c r="O51" s="35" t="str">
        <x:f>IF($C51="","",SUM(H51:I51)-K51)</x:f>
      </x:c>
      <x:c r="P51" s="35" t="str">
        <x:f>IF($C51="","",G51+E51)</x:f>
      </x:c>
      <x:c r="Q51" s="35" t="str">
        <x:f>IF($C51="","",Q50+F51)</x:f>
      </x:c>
      <x:c r="R51" s="35" t="str">
        <x:f>IF($C51="","",SUM(K51,M51))</x:f>
      </x:c>
      <x:c r="S51" s="35" t="str">
        <x:f>IF($C51="","",N51)</x:f>
      </x:c>
      <x:c r="T51" s="2"/>
      <x:c r="U51" s="71" t="str">
        <x:f>IF($C51="","",C51)</x:f>
      </x:c>
      <x:c r="V51" s="35" t="n">
        <x:f>IF($C51="",0,AB51-AA51)</x:f>
        <x:v>0</x:v>
      </x:c>
      <x:c r="W51" s="71" t="str">
        <x:f>IF($C51="","",IF(V51=0,W50,SIGN(V51)))</x:f>
      </x:c>
      <x:c r="X51" s="71" t="str">
        <x:f>IF($C51="","",IF(AND(V51&lt;&gt;0,W50&lt;&gt;0,W51&lt;&gt;W50),1,0))</x:f>
      </x:c>
      <x:c r="Y51" s="35" t="str">
        <x:f>IF($C51="","",IF(C51='Inputs'!$E$45,$E$77,0))</x:f>
      </x:c>
      <x:c r="Z51" s="35" t="str">
        <x:f>IF($C51="","",IF(C51='Inputs'!$E$45,$E$78,0))</x:f>
      </x:c>
      <x:c r="AA51" s="35" t="str">
        <x:f>IF($C51="","",E51+IF(C51='Inputs'!$E$45,$E$65,0))</x:f>
      </x:c>
      <x:c r="AB51" s="35" t="str">
        <x:f>IF($C51="","",SUM(R51,Y51))</x:f>
      </x:c>
      <x:c r="AC51" s="35" t="str">
        <x:f>IF($C51="","",F51+IF(C51='Inputs'!$E$45,$E$66,0))</x:f>
      </x:c>
      <x:c r="AD51" s="35" t="str">
        <x:f>IF($C51="","",SUM(S51,Z51))</x:f>
      </x:c>
      <x:c r="AE51" s="35" t="str">
        <x:f>IF($C51="","",'Annual Projection'!G34*'Inputs'!$E$62)</x:f>
      </x:c>
    </x:row>
    <x:row r="52" ht="23" customHeight="1">
      <x:c r="C52" s="47" t="str">
        <x:f>IF(AND('Inputs'!$E$56="On",26&lt;='Inputs'!$E$45),26,"")</x:f>
      </x:c>
      <x:c r="D52" s="35" t="str">
        <x:f>IF($C52="","",'Annual Projection'!N35)</x:f>
      </x:c>
      <x:c r="E52" s="35" t="str">
        <x:f>IF($C52="","",MAX(0,-D52)*'Inputs'!$E$57)</x:f>
      </x:c>
      <x:c r="F52" s="35" t="str">
        <x:f>IF($C52="","",MAX(0,-D52)*(1-'Inputs'!$E$57))</x:f>
      </x:c>
      <x:c r="G52" s="35" t="str">
        <x:f>IF($C52="","",P51)</x:f>
      </x:c>
      <x:c r="H52" s="35" t="str">
        <x:f>IF($C52="","",O51)</x:f>
      </x:c>
      <x:c r="I52" s="35" t="str">
        <x:f>IF($C52="","",G52*'Inputs'!$E$59)</x:f>
      </x:c>
      <x:c r="J52" s="35" t="str">
        <x:f>IF($C52="","",MAX(0,D52))</x:f>
      </x:c>
      <x:c r="K52" s="35" t="str">
        <x:f>IF($C52="","",MIN(J52,SUM(H52:I52)))</x:f>
      </x:c>
      <x:c r="L52" s="35" t="str">
        <x:f>IF($C52="","",J52-K52)</x:f>
      </x:c>
      <x:c r="M52" s="35" t="str">
        <x:f>IF($C52="","",L52*$E$13)</x:f>
      </x:c>
      <x:c r="N52" s="35" t="str">
        <x:f>IF($C52="","",L52*$E$14)</x:f>
      </x:c>
      <x:c r="O52" s="35" t="str">
        <x:f>IF($C52="","",SUM(H52:I52)-K52)</x:f>
      </x:c>
      <x:c r="P52" s="35" t="str">
        <x:f>IF($C52="","",G52+E52)</x:f>
      </x:c>
      <x:c r="Q52" s="35" t="str">
        <x:f>IF($C52="","",Q51+F52)</x:f>
      </x:c>
      <x:c r="R52" s="35" t="str">
        <x:f>IF($C52="","",SUM(K52,M52))</x:f>
      </x:c>
      <x:c r="S52" s="35" t="str">
        <x:f>IF($C52="","",N52)</x:f>
      </x:c>
      <x:c r="T52" s="2"/>
      <x:c r="U52" s="71" t="str">
        <x:f>IF($C52="","",C52)</x:f>
      </x:c>
      <x:c r="V52" s="35" t="n">
        <x:f>IF($C52="",0,AB52-AA52)</x:f>
        <x:v>0</x:v>
      </x:c>
      <x:c r="W52" s="71" t="str">
        <x:f>IF($C52="","",IF(V52=0,W51,SIGN(V52)))</x:f>
      </x:c>
      <x:c r="X52" s="71" t="str">
        <x:f>IF($C52="","",IF(AND(V52&lt;&gt;0,W51&lt;&gt;0,W52&lt;&gt;W51),1,0))</x:f>
      </x:c>
      <x:c r="Y52" s="35" t="str">
        <x:f>IF($C52="","",IF(C52='Inputs'!$E$45,$E$77,0))</x:f>
      </x:c>
      <x:c r="Z52" s="35" t="str">
        <x:f>IF($C52="","",IF(C52='Inputs'!$E$45,$E$78,0))</x:f>
      </x:c>
      <x:c r="AA52" s="35" t="str">
        <x:f>IF($C52="","",E52+IF(C52='Inputs'!$E$45,$E$65,0))</x:f>
      </x:c>
      <x:c r="AB52" s="35" t="str">
        <x:f>IF($C52="","",SUM(R52,Y52))</x:f>
      </x:c>
      <x:c r="AC52" s="35" t="str">
        <x:f>IF($C52="","",F52+IF(C52='Inputs'!$E$45,$E$66,0))</x:f>
      </x:c>
      <x:c r="AD52" s="35" t="str">
        <x:f>IF($C52="","",SUM(S52,Z52))</x:f>
      </x:c>
      <x:c r="AE52" s="35" t="str">
        <x:f>IF($C52="","",'Annual Projection'!G35*'Inputs'!$E$62)</x:f>
      </x:c>
    </x:row>
    <x:row r="53" ht="23" customHeight="1">
      <x:c r="C53" s="47" t="str">
        <x:f>IF(AND('Inputs'!$E$56="On",27&lt;='Inputs'!$E$45),27,"")</x:f>
      </x:c>
      <x:c r="D53" s="35" t="str">
        <x:f>IF($C53="","",'Annual Projection'!N36)</x:f>
      </x:c>
      <x:c r="E53" s="35" t="str">
        <x:f>IF($C53="","",MAX(0,-D53)*'Inputs'!$E$57)</x:f>
      </x:c>
      <x:c r="F53" s="35" t="str">
        <x:f>IF($C53="","",MAX(0,-D53)*(1-'Inputs'!$E$57))</x:f>
      </x:c>
      <x:c r="G53" s="35" t="str">
        <x:f>IF($C53="","",P52)</x:f>
      </x:c>
      <x:c r="H53" s="35" t="str">
        <x:f>IF($C53="","",O52)</x:f>
      </x:c>
      <x:c r="I53" s="35" t="str">
        <x:f>IF($C53="","",G53*'Inputs'!$E$59)</x:f>
      </x:c>
      <x:c r="J53" s="35" t="str">
        <x:f>IF($C53="","",MAX(0,D53))</x:f>
      </x:c>
      <x:c r="K53" s="35" t="str">
        <x:f>IF($C53="","",MIN(J53,SUM(H53:I53)))</x:f>
      </x:c>
      <x:c r="L53" s="35" t="str">
        <x:f>IF($C53="","",J53-K53)</x:f>
      </x:c>
      <x:c r="M53" s="35" t="str">
        <x:f>IF($C53="","",L53*$E$13)</x:f>
      </x:c>
      <x:c r="N53" s="35" t="str">
        <x:f>IF($C53="","",L53*$E$14)</x:f>
      </x:c>
      <x:c r="O53" s="35" t="str">
        <x:f>IF($C53="","",SUM(H53:I53)-K53)</x:f>
      </x:c>
      <x:c r="P53" s="35" t="str">
        <x:f>IF($C53="","",G53+E53)</x:f>
      </x:c>
      <x:c r="Q53" s="35" t="str">
        <x:f>IF($C53="","",Q52+F53)</x:f>
      </x:c>
      <x:c r="R53" s="35" t="str">
        <x:f>IF($C53="","",SUM(K53,M53))</x:f>
      </x:c>
      <x:c r="S53" s="35" t="str">
        <x:f>IF($C53="","",N53)</x:f>
      </x:c>
      <x:c r="T53" s="2"/>
      <x:c r="U53" s="71" t="str">
        <x:f>IF($C53="","",C53)</x:f>
      </x:c>
      <x:c r="V53" s="35" t="n">
        <x:f>IF($C53="",0,AB53-AA53)</x:f>
        <x:v>0</x:v>
      </x:c>
      <x:c r="W53" s="71" t="str">
        <x:f>IF($C53="","",IF(V53=0,W52,SIGN(V53)))</x:f>
      </x:c>
      <x:c r="X53" s="71" t="str">
        <x:f>IF($C53="","",IF(AND(V53&lt;&gt;0,W52&lt;&gt;0,W53&lt;&gt;W52),1,0))</x:f>
      </x:c>
      <x:c r="Y53" s="35" t="str">
        <x:f>IF($C53="","",IF(C53='Inputs'!$E$45,$E$77,0))</x:f>
      </x:c>
      <x:c r="Z53" s="35" t="str">
        <x:f>IF($C53="","",IF(C53='Inputs'!$E$45,$E$78,0))</x:f>
      </x:c>
      <x:c r="AA53" s="35" t="str">
        <x:f>IF($C53="","",E53+IF(C53='Inputs'!$E$45,$E$65,0))</x:f>
      </x:c>
      <x:c r="AB53" s="35" t="str">
        <x:f>IF($C53="","",SUM(R53,Y53))</x:f>
      </x:c>
      <x:c r="AC53" s="35" t="str">
        <x:f>IF($C53="","",F53+IF(C53='Inputs'!$E$45,$E$66,0))</x:f>
      </x:c>
      <x:c r="AD53" s="35" t="str">
        <x:f>IF($C53="","",SUM(S53,Z53))</x:f>
      </x:c>
      <x:c r="AE53" s="35" t="str">
        <x:f>IF($C53="","",'Annual Projection'!G36*'Inputs'!$E$62)</x:f>
      </x:c>
    </x:row>
    <x:row r="54" ht="23" customHeight="1">
      <x:c r="C54" s="47" t="str">
        <x:f>IF(AND('Inputs'!$E$56="On",28&lt;='Inputs'!$E$45),28,"")</x:f>
      </x:c>
      <x:c r="D54" s="35" t="str">
        <x:f>IF($C54="","",'Annual Projection'!N37)</x:f>
      </x:c>
      <x:c r="E54" s="35" t="str">
        <x:f>IF($C54="","",MAX(0,-D54)*'Inputs'!$E$57)</x:f>
      </x:c>
      <x:c r="F54" s="35" t="str">
        <x:f>IF($C54="","",MAX(0,-D54)*(1-'Inputs'!$E$57))</x:f>
      </x:c>
      <x:c r="G54" s="35" t="str">
        <x:f>IF($C54="","",P53)</x:f>
      </x:c>
      <x:c r="H54" s="35" t="str">
        <x:f>IF($C54="","",O53)</x:f>
      </x:c>
      <x:c r="I54" s="35" t="str">
        <x:f>IF($C54="","",G54*'Inputs'!$E$59)</x:f>
      </x:c>
      <x:c r="J54" s="35" t="str">
        <x:f>IF($C54="","",MAX(0,D54))</x:f>
      </x:c>
      <x:c r="K54" s="35" t="str">
        <x:f>IF($C54="","",MIN(J54,SUM(H54:I54)))</x:f>
      </x:c>
      <x:c r="L54" s="35" t="str">
        <x:f>IF($C54="","",J54-K54)</x:f>
      </x:c>
      <x:c r="M54" s="35" t="str">
        <x:f>IF($C54="","",L54*$E$13)</x:f>
      </x:c>
      <x:c r="N54" s="35" t="str">
        <x:f>IF($C54="","",L54*$E$14)</x:f>
      </x:c>
      <x:c r="O54" s="35" t="str">
        <x:f>IF($C54="","",SUM(H54:I54)-K54)</x:f>
      </x:c>
      <x:c r="P54" s="35" t="str">
        <x:f>IF($C54="","",G54+E54)</x:f>
      </x:c>
      <x:c r="Q54" s="35" t="str">
        <x:f>IF($C54="","",Q53+F54)</x:f>
      </x:c>
      <x:c r="R54" s="35" t="str">
        <x:f>IF($C54="","",SUM(K54,M54))</x:f>
      </x:c>
      <x:c r="S54" s="35" t="str">
        <x:f>IF($C54="","",N54)</x:f>
      </x:c>
      <x:c r="T54" s="2"/>
      <x:c r="U54" s="71" t="str">
        <x:f>IF($C54="","",C54)</x:f>
      </x:c>
      <x:c r="V54" s="35" t="n">
        <x:f>IF($C54="",0,AB54-AA54)</x:f>
        <x:v>0</x:v>
      </x:c>
      <x:c r="W54" s="71" t="str">
        <x:f>IF($C54="","",IF(V54=0,W53,SIGN(V54)))</x:f>
      </x:c>
      <x:c r="X54" s="71" t="str">
        <x:f>IF($C54="","",IF(AND(V54&lt;&gt;0,W53&lt;&gt;0,W54&lt;&gt;W53),1,0))</x:f>
      </x:c>
      <x:c r="Y54" s="35" t="str">
        <x:f>IF($C54="","",IF(C54='Inputs'!$E$45,$E$77,0))</x:f>
      </x:c>
      <x:c r="Z54" s="35" t="str">
        <x:f>IF($C54="","",IF(C54='Inputs'!$E$45,$E$78,0))</x:f>
      </x:c>
      <x:c r="AA54" s="35" t="str">
        <x:f>IF($C54="","",E54+IF(C54='Inputs'!$E$45,$E$65,0))</x:f>
      </x:c>
      <x:c r="AB54" s="35" t="str">
        <x:f>IF($C54="","",SUM(R54,Y54))</x:f>
      </x:c>
      <x:c r="AC54" s="35" t="str">
        <x:f>IF($C54="","",F54+IF(C54='Inputs'!$E$45,$E$66,0))</x:f>
      </x:c>
      <x:c r="AD54" s="35" t="str">
        <x:f>IF($C54="","",SUM(S54,Z54))</x:f>
      </x:c>
      <x:c r="AE54" s="35" t="str">
        <x:f>IF($C54="","",'Annual Projection'!G37*'Inputs'!$E$62)</x:f>
      </x:c>
    </x:row>
    <x:row r="55" ht="23" customHeight="1">
      <x:c r="C55" s="47" t="str">
        <x:f>IF(AND('Inputs'!$E$56="On",29&lt;='Inputs'!$E$45),29,"")</x:f>
      </x:c>
      <x:c r="D55" s="35" t="str">
        <x:f>IF($C55="","",'Annual Projection'!N38)</x:f>
      </x:c>
      <x:c r="E55" s="35" t="str">
        <x:f>IF($C55="","",MAX(0,-D55)*'Inputs'!$E$57)</x:f>
      </x:c>
      <x:c r="F55" s="35" t="str">
        <x:f>IF($C55="","",MAX(0,-D55)*(1-'Inputs'!$E$57))</x:f>
      </x:c>
      <x:c r="G55" s="35" t="str">
        <x:f>IF($C55="","",P54)</x:f>
      </x:c>
      <x:c r="H55" s="35" t="str">
        <x:f>IF($C55="","",O54)</x:f>
      </x:c>
      <x:c r="I55" s="35" t="str">
        <x:f>IF($C55="","",G55*'Inputs'!$E$59)</x:f>
      </x:c>
      <x:c r="J55" s="35" t="str">
        <x:f>IF($C55="","",MAX(0,D55))</x:f>
      </x:c>
      <x:c r="K55" s="35" t="str">
        <x:f>IF($C55="","",MIN(J55,SUM(H55:I55)))</x:f>
      </x:c>
      <x:c r="L55" s="35" t="str">
        <x:f>IF($C55="","",J55-K55)</x:f>
      </x:c>
      <x:c r="M55" s="35" t="str">
        <x:f>IF($C55="","",L55*$E$13)</x:f>
      </x:c>
      <x:c r="N55" s="35" t="str">
        <x:f>IF($C55="","",L55*$E$14)</x:f>
      </x:c>
      <x:c r="O55" s="35" t="str">
        <x:f>IF($C55="","",SUM(H55:I55)-K55)</x:f>
      </x:c>
      <x:c r="P55" s="35" t="str">
        <x:f>IF($C55="","",G55+E55)</x:f>
      </x:c>
      <x:c r="Q55" s="35" t="str">
        <x:f>IF($C55="","",Q54+F55)</x:f>
      </x:c>
      <x:c r="R55" s="35" t="str">
        <x:f>IF($C55="","",SUM(K55,M55))</x:f>
      </x:c>
      <x:c r="S55" s="35" t="str">
        <x:f>IF($C55="","",N55)</x:f>
      </x:c>
      <x:c r="T55" s="2"/>
      <x:c r="U55" s="71" t="str">
        <x:f>IF($C55="","",C55)</x:f>
      </x:c>
      <x:c r="V55" s="35" t="n">
        <x:f>IF($C55="",0,AB55-AA55)</x:f>
        <x:v>0</x:v>
      </x:c>
      <x:c r="W55" s="71" t="str">
        <x:f>IF($C55="","",IF(V55=0,W54,SIGN(V55)))</x:f>
      </x:c>
      <x:c r="X55" s="71" t="str">
        <x:f>IF($C55="","",IF(AND(V55&lt;&gt;0,W54&lt;&gt;0,W55&lt;&gt;W54),1,0))</x:f>
      </x:c>
      <x:c r="Y55" s="35" t="str">
        <x:f>IF($C55="","",IF(C55='Inputs'!$E$45,$E$77,0))</x:f>
      </x:c>
      <x:c r="Z55" s="35" t="str">
        <x:f>IF($C55="","",IF(C55='Inputs'!$E$45,$E$78,0))</x:f>
      </x:c>
      <x:c r="AA55" s="35" t="str">
        <x:f>IF($C55="","",E55+IF(C55='Inputs'!$E$45,$E$65,0))</x:f>
      </x:c>
      <x:c r="AB55" s="35" t="str">
        <x:f>IF($C55="","",SUM(R55,Y55))</x:f>
      </x:c>
      <x:c r="AC55" s="35" t="str">
        <x:f>IF($C55="","",F55+IF(C55='Inputs'!$E$45,$E$66,0))</x:f>
      </x:c>
      <x:c r="AD55" s="35" t="str">
        <x:f>IF($C55="","",SUM(S55,Z55))</x:f>
      </x:c>
      <x:c r="AE55" s="35" t="str">
        <x:f>IF($C55="","",'Annual Projection'!G38*'Inputs'!$E$62)</x:f>
      </x:c>
    </x:row>
    <x:row r="56" ht="23" customHeight="1">
      <x:c r="C56" s="47" t="str">
        <x:f>IF(AND('Inputs'!$E$56="On",30&lt;='Inputs'!$E$45),30,"")</x:f>
      </x:c>
      <x:c r="D56" s="35" t="str">
        <x:f>IF($C56="","",'Annual Projection'!N39)</x:f>
      </x:c>
      <x:c r="E56" s="35" t="str">
        <x:f>IF($C56="","",MAX(0,-D56)*'Inputs'!$E$57)</x:f>
      </x:c>
      <x:c r="F56" s="35" t="str">
        <x:f>IF($C56="","",MAX(0,-D56)*(1-'Inputs'!$E$57))</x:f>
      </x:c>
      <x:c r="G56" s="35" t="str">
        <x:f>IF($C56="","",P55)</x:f>
      </x:c>
      <x:c r="H56" s="35" t="str">
        <x:f>IF($C56="","",O55)</x:f>
      </x:c>
      <x:c r="I56" s="35" t="str">
        <x:f>IF($C56="","",G56*'Inputs'!$E$59)</x:f>
      </x:c>
      <x:c r="J56" s="35" t="str">
        <x:f>IF($C56="","",MAX(0,D56))</x:f>
      </x:c>
      <x:c r="K56" s="35" t="str">
        <x:f>IF($C56="","",MIN(J56,SUM(H56:I56)))</x:f>
      </x:c>
      <x:c r="L56" s="35" t="str">
        <x:f>IF($C56="","",J56-K56)</x:f>
      </x:c>
      <x:c r="M56" s="35" t="str">
        <x:f>IF($C56="","",L56*$E$13)</x:f>
      </x:c>
      <x:c r="N56" s="35" t="str">
        <x:f>IF($C56="","",L56*$E$14)</x:f>
      </x:c>
      <x:c r="O56" s="35" t="str">
        <x:f>IF($C56="","",SUM(H56:I56)-K56)</x:f>
      </x:c>
      <x:c r="P56" s="35" t="str">
        <x:f>IF($C56="","",G56+E56)</x:f>
      </x:c>
      <x:c r="Q56" s="35" t="str">
        <x:f>IF($C56="","",Q55+F56)</x:f>
      </x:c>
      <x:c r="R56" s="35" t="str">
        <x:f>IF($C56="","",SUM(K56,M56))</x:f>
      </x:c>
      <x:c r="S56" s="35" t="str">
        <x:f>IF($C56="","",N56)</x:f>
      </x:c>
      <x:c r="T56" s="2"/>
      <x:c r="U56" s="71" t="str">
        <x:f>IF($C56="","",C56)</x:f>
      </x:c>
      <x:c r="V56" s="35" t="n">
        <x:f>IF($C56="",0,AB56-AA56)</x:f>
        <x:v>0</x:v>
      </x:c>
      <x:c r="W56" s="71" t="str">
        <x:f>IF($C56="","",IF(V56=0,W55,SIGN(V56)))</x:f>
      </x:c>
      <x:c r="X56" s="71" t="str">
        <x:f>IF($C56="","",IF(AND(V56&lt;&gt;0,W55&lt;&gt;0,W56&lt;&gt;W55),1,0))</x:f>
      </x:c>
      <x:c r="Y56" s="35" t="str">
        <x:f>IF($C56="","",IF(C56='Inputs'!$E$45,$E$77,0))</x:f>
      </x:c>
      <x:c r="Z56" s="35" t="str">
        <x:f>IF($C56="","",IF(C56='Inputs'!$E$45,$E$78,0))</x:f>
      </x:c>
      <x:c r="AA56" s="35" t="str">
        <x:f>IF($C56="","",E56+IF(C56='Inputs'!$E$45,$E$65,0))</x:f>
      </x:c>
      <x:c r="AB56" s="35" t="str">
        <x:f>IF($C56="","",SUM(R56,Y56))</x:f>
      </x:c>
      <x:c r="AC56" s="35" t="str">
        <x:f>IF($C56="","",F56+IF(C56='Inputs'!$E$45,$E$66,0))</x:f>
      </x:c>
      <x:c r="AD56" s="35" t="str">
        <x:f>IF($C56="","",SUM(S56,Z56))</x:f>
      </x:c>
      <x:c r="AE56" s="35" t="str">
        <x:f>IF($C56="","",'Annual Projection'!G39*'Inputs'!$E$62)</x:f>
      </x:c>
    </x:row>
    <x:row r="57" ht="23" customHeight="1">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c r="AC57" s="2"/>
      <x:c r="AD57" s="2"/>
      <x:c r="AE57" s="2"/>
    </x:row>
    <x:row r="58" ht="23" customHeight="1">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c r="AC58" s="2"/>
      <x:c r="AD58" s="2"/>
      <x:c r="AE58" s="2"/>
    </x:row>
    <x:row r="59" ht="24" customHeight="1">
      <x:c r="C59" s="8" t="str">
        <x:v>Exit waterfall after final operating distributions</x:v>
      </x:c>
      <x:c r="D59" s="8"/>
      <x:c r="E59" s="8"/>
      <x:c r="F59" s="2"/>
      <x:c r="G59" s="2"/>
      <x:c r="H59" s="2"/>
      <x:c r="I59" s="2"/>
      <x:c r="J59" s="2"/>
      <x:c r="K59" s="2"/>
      <x:c r="L59" s="2"/>
      <x:c r="M59" s="2"/>
      <x:c r="N59" s="2"/>
      <x:c r="O59" s="2"/>
      <x:c r="P59" s="2"/>
      <x:c r="Q59" s="2"/>
      <x:c r="R59" s="2"/>
      <x:c r="S59" s="2"/>
      <x:c r="T59" s="2"/>
      <x:c r="U59" s="2"/>
      <x:c r="V59" s="2"/>
      <x:c r="W59" s="2"/>
      <x:c r="X59" s="2"/>
      <x:c r="Y59" s="2"/>
      <x:c r="Z59" s="2"/>
      <x:c r="AA59" s="2"/>
      <x:c r="AB59" s="2"/>
      <x:c r="AC59" s="2"/>
      <x:c r="AD59" s="2"/>
      <x:c r="AE59" s="2"/>
    </x:row>
    <x:row r="60" ht="29" customHeight="1">
      <x:c r="C60" s="2" t="str">
        <x:v>Net sale proceeds before waterfall</x:v>
      </x:c>
      <x:c r="D60" s="2"/>
      <x:c r="E60" s="33" t="str">
        <x:f>IF('Inputs'!$E$56="On",'Property Model'!E48,"n.a.")</x:f>
        <x:v>n.a.</x:v>
      </x:c>
      <x:c r="F60" s="2"/>
      <x:c r="G60" s="6" t="str">
        <x:v>At exit: pay unpaid LP preference first, return LP/GP contributed capital pro rata, then split remaining profit. Capital repayment is limited by cash. LP preference can reduce the amount available to repay capital. Operating profit distributions never reduce contributed capital.</x:v>
      </x:c>
      <x:c r="H60" s="6"/>
      <x:c r="I60" s="6"/>
      <x:c r="J60" s="6"/>
      <x:c r="K60" s="6"/>
      <x:c r="L60" s="6"/>
      <x:c r="M60" s="6"/>
      <x:c r="N60" s="6"/>
      <x:c r="O60" s="6"/>
      <x:c r="P60" s="6"/>
      <x:c r="Q60" s="6"/>
      <x:c r="R60" s="6"/>
      <x:c r="S60" s="6"/>
      <x:c r="T60" s="2"/>
      <x:c r="U60" s="2"/>
      <x:c r="V60" s="2"/>
      <x:c r="W60" s="2"/>
      <x:c r="X60" s="2"/>
      <x:c r="Y60" s="2"/>
      <x:c r="Z60" s="2"/>
      <x:c r="AA60" s="2"/>
      <x:c r="AB60" s="2"/>
      <x:c r="AC60" s="2"/>
      <x:c r="AD60" s="2"/>
      <x:c r="AE60" s="2"/>
    </x:row>
    <x:row r="61" ht="29" customHeight="1">
      <x:c r="C61" s="52" t="str">
        <x:v>Cash available from sale</x:v>
      </x:c>
      <x:c r="D61" s="52"/>
      <x:c r="E61" s="70" t="str">
        <x:f>IF('Inputs'!$E$56="On",MAX(0,E60),"n.a.")</x:f>
        <x:v>n.a.</x:v>
      </x:c>
      <x:c r="F61" s="2"/>
      <x:c r="G61" s="6"/>
      <x:c r="H61" s="6"/>
      <x:c r="I61" s="6"/>
      <x:c r="J61" s="6"/>
      <x:c r="K61" s="6"/>
      <x:c r="L61" s="6"/>
      <x:c r="M61" s="6"/>
      <x:c r="N61" s="6"/>
      <x:c r="O61" s="6"/>
      <x:c r="P61" s="6"/>
      <x:c r="Q61" s="6"/>
      <x:c r="R61" s="6"/>
      <x:c r="S61" s="6"/>
      <x:c r="T61" s="2"/>
      <x:c r="U61" s="2"/>
      <x:c r="V61" s="2"/>
      <x:c r="W61" s="2"/>
      <x:c r="X61" s="2"/>
      <x:c r="Y61" s="2"/>
      <x:c r="Z61" s="2"/>
      <x:c r="AA61" s="2"/>
      <x:c r="AB61" s="2"/>
      <x:c r="AC61" s="2"/>
      <x:c r="AD61" s="2"/>
      <x:c r="AE61" s="2"/>
    </x:row>
    <x:row r="62" ht="29" customHeight="1">
      <x:c r="C62" s="2" t="str">
        <x:v>Sale shortfall / capital call</x:v>
      </x:c>
      <x:c r="D62" s="2"/>
      <x:c r="E62" s="33" t="str">
        <x:f>IF('Inputs'!$E$56="On",MAX(0,-E60),"n.a.")</x:f>
        <x:v>n.a.</x:v>
      </x:c>
      <x:c r="F62" s="2"/>
      <x:c r="G62" s="6"/>
      <x:c r="H62" s="6"/>
      <x:c r="I62" s="6"/>
      <x:c r="J62" s="6"/>
      <x:c r="K62" s="6"/>
      <x:c r="L62" s="6"/>
      <x:c r="M62" s="6"/>
      <x:c r="N62" s="6"/>
      <x:c r="O62" s="6"/>
      <x:c r="P62" s="6"/>
      <x:c r="Q62" s="6"/>
      <x:c r="R62" s="6"/>
      <x:c r="S62" s="6"/>
      <x:c r="T62" s="2"/>
      <x:c r="U62" s="2"/>
      <x:c r="V62" s="2"/>
      <x:c r="W62" s="2"/>
      <x:c r="X62" s="2"/>
      <x:c r="Y62" s="2"/>
      <x:c r="Z62" s="2"/>
      <x:c r="AA62" s="2"/>
      <x:c r="AB62" s="2"/>
      <x:c r="AC62" s="2"/>
      <x:c r="AD62" s="2"/>
      <x:c r="AE62" s="2"/>
    </x:row>
    <x:row r="63" ht="29" customHeight="1">
      <x:c r="C63" s="2" t="str">
        <x:v>LP capital before sale</x:v>
      </x:c>
      <x:c r="D63" s="2"/>
      <x:c r="E63" s="33" t="str">
        <x:f>IF('Inputs'!$E$56="On",INDEX(P27:P56,'Inputs'!$E$45),"n.a.")</x:f>
        <x:v>n.a.</x:v>
      </x:c>
      <x:c r="F63" s="2"/>
      <x:c r="G63" s="6"/>
      <x:c r="H63" s="6"/>
      <x:c r="I63" s="6"/>
      <x:c r="J63" s="6"/>
      <x:c r="K63" s="6"/>
      <x:c r="L63" s="6"/>
      <x:c r="M63" s="6"/>
      <x:c r="N63" s="6"/>
      <x:c r="O63" s="6"/>
      <x:c r="P63" s="6"/>
      <x:c r="Q63" s="6"/>
      <x:c r="R63" s="6"/>
      <x:c r="S63" s="6"/>
      <x:c r="T63" s="2"/>
      <x:c r="U63" s="2"/>
      <x:c r="V63" s="2"/>
      <x:c r="W63" s="2"/>
      <x:c r="X63" s="2"/>
      <x:c r="Y63" s="2"/>
      <x:c r="Z63" s="2"/>
      <x:c r="AA63" s="2"/>
      <x:c r="AB63" s="2"/>
      <x:c r="AC63" s="2"/>
      <x:c r="AD63" s="2"/>
      <x:c r="AE63" s="2"/>
    </x:row>
    <x:row r="64" ht="23" customHeight="1">
      <x:c r="C64" s="2" t="str">
        <x:v>GP capital before sale</x:v>
      </x:c>
      <x:c r="D64" s="2"/>
      <x:c r="E64" s="33" t="str">
        <x:f>IF('Inputs'!$E$56="On",INDEX(Q27:Q56,'Inputs'!$E$45),"n.a.")</x:f>
        <x:v>n.a.</x:v>
      </x:c>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c r="AE64" s="2"/>
    </x:row>
    <x:row r="65" ht="29" customHeight="1">
      <x:c r="C65" s="2" t="str">
        <x:v>LP sale shortfall contribution</x:v>
      </x:c>
      <x:c r="D65" s="2"/>
      <x:c r="E65" s="33" t="str">
        <x:f>IF('Inputs'!$E$56="On",E62*'Inputs'!$E$57,"n.a.")</x:f>
        <x:v>n.a.</x:v>
      </x:c>
      <x:c r="F65" s="2"/>
      <x:c r="G65" s="6" t="str">
        <x:v>Additional capital calls fund negative operations, an earlier maturity balloon and any sale shortfall. Preference accrues on LP capital outstanding at the beginning of each year. New year-end calls start accruing preference the following year. No preference accrues on unpaid preference.</x:v>
      </x:c>
      <x:c r="H65" s="6"/>
      <x:c r="I65" s="6"/>
      <x:c r="J65" s="6"/>
      <x:c r="K65" s="6"/>
      <x:c r="L65" s="6"/>
      <x:c r="M65" s="6"/>
      <x:c r="N65" s="6"/>
      <x:c r="O65" s="6"/>
      <x:c r="P65" s="6"/>
      <x:c r="Q65" s="6"/>
      <x:c r="R65" s="6"/>
      <x:c r="S65" s="6"/>
      <x:c r="T65" s="2"/>
      <x:c r="U65" s="2"/>
      <x:c r="V65" s="2"/>
      <x:c r="W65" s="2"/>
      <x:c r="X65" s="2"/>
      <x:c r="Y65" s="2"/>
      <x:c r="Z65" s="2"/>
      <x:c r="AA65" s="2"/>
      <x:c r="AB65" s="2"/>
      <x:c r="AC65" s="2"/>
      <x:c r="AD65" s="2"/>
      <x:c r="AE65" s="2"/>
    </x:row>
    <x:row r="66" ht="29" customHeight="1">
      <x:c r="C66" s="2" t="str">
        <x:v>GP sale shortfall contribution</x:v>
      </x:c>
      <x:c r="D66" s="2"/>
      <x:c r="E66" s="33" t="str">
        <x:f>IF('Inputs'!$E$56="On",E62*(1-'Inputs'!$E$57),"n.a.")</x:f>
        <x:v>n.a.</x:v>
      </x:c>
      <x:c r="F66" s="2"/>
      <x:c r="G66" s="6"/>
      <x:c r="H66" s="6"/>
      <x:c r="I66" s="6"/>
      <x:c r="J66" s="6"/>
      <x:c r="K66" s="6"/>
      <x:c r="L66" s="6"/>
      <x:c r="M66" s="6"/>
      <x:c r="N66" s="6"/>
      <x:c r="O66" s="6"/>
      <x:c r="P66" s="6"/>
      <x:c r="Q66" s="6"/>
      <x:c r="R66" s="6"/>
      <x:c r="S66" s="6"/>
      <x:c r="T66" s="2"/>
      <x:c r="U66" s="2"/>
      <x:c r="V66" s="2"/>
      <x:c r="W66" s="2"/>
      <x:c r="X66" s="2"/>
      <x:c r="Y66" s="2"/>
      <x:c r="Z66" s="2"/>
      <x:c r="AA66" s="2"/>
      <x:c r="AB66" s="2"/>
      <x:c r="AC66" s="2"/>
      <x:c r="AD66" s="2"/>
      <x:c r="AE66" s="2"/>
    </x:row>
    <x:row r="67" ht="29" customHeight="1">
      <x:c r="C67" s="2" t="str">
        <x:v>Unpaid preferred return before sale</x:v>
      </x:c>
      <x:c r="D67" s="2"/>
      <x:c r="E67" s="33" t="str">
        <x:f>IF('Inputs'!$E$56="On",INDEX(O27:O56,'Inputs'!$E$45),"n.a.")</x:f>
        <x:v>n.a.</x:v>
      </x:c>
      <x:c r="F67" s="2"/>
      <x:c r="G67" s="6"/>
      <x:c r="H67" s="6"/>
      <x:c r="I67" s="6"/>
      <x:c r="J67" s="6"/>
      <x:c r="K67" s="6"/>
      <x:c r="L67" s="6"/>
      <x:c r="M67" s="6"/>
      <x:c r="N67" s="6"/>
      <x:c r="O67" s="6"/>
      <x:c r="P67" s="6"/>
      <x:c r="Q67" s="6"/>
      <x:c r="R67" s="6"/>
      <x:c r="S67" s="6"/>
      <x:c r="T67" s="2"/>
      <x:c r="U67" s="2"/>
      <x:c r="V67" s="2"/>
      <x:c r="W67" s="2"/>
      <x:c r="X67" s="2"/>
      <x:c r="Y67" s="2"/>
      <x:c r="Z67" s="2"/>
      <x:c r="AA67" s="2"/>
      <x:c r="AB67" s="2"/>
      <x:c r="AC67" s="2"/>
      <x:c r="AD67" s="2"/>
      <x:c r="AE67" s="2"/>
    </x:row>
    <x:row r="68" ht="29" customHeight="1">
      <x:c r="C68" s="52" t="str">
        <x:v>1. LP preferred return paid at sale</x:v>
      </x:c>
      <x:c r="D68" s="52"/>
      <x:c r="E68" s="70" t="str">
        <x:f>IF('Inputs'!$E$56="On",MIN(E61,E67),"n.a.")</x:f>
        <x:v>n.a.</x:v>
      </x:c>
      <x:c r="F68" s="2"/>
      <x:c r="G68" s="6"/>
      <x:c r="H68" s="6"/>
      <x:c r="I68" s="6"/>
      <x:c r="J68" s="6"/>
      <x:c r="K68" s="6"/>
      <x:c r="L68" s="6"/>
      <x:c r="M68" s="6"/>
      <x:c r="N68" s="6"/>
      <x:c r="O68" s="6"/>
      <x:c r="P68" s="6"/>
      <x:c r="Q68" s="6"/>
      <x:c r="R68" s="6"/>
      <x:c r="S68" s="6"/>
      <x:c r="T68" s="2"/>
      <x:c r="U68" s="2"/>
      <x:c r="V68" s="2"/>
      <x:c r="W68" s="2"/>
      <x:c r="X68" s="2"/>
      <x:c r="Y68" s="2"/>
      <x:c r="Z68" s="2"/>
      <x:c r="AA68" s="2"/>
      <x:c r="AB68" s="2"/>
      <x:c r="AC68" s="2"/>
      <x:c r="AD68" s="2"/>
      <x:c r="AE68" s="2"/>
    </x:row>
    <x:row r="69" ht="23" customHeight="1">
      <x:c r="C69" s="2" t="str">
        <x:v>Cash remaining after preference</x:v>
      </x:c>
      <x:c r="D69" s="2"/>
      <x:c r="E69" s="33" t="str">
        <x:f>IF('Inputs'!$E$56="On",E61-E68,"n.a.")</x:f>
        <x:v>n.a.</x:v>
      </x:c>
      <x:c r="F69" s="2"/>
      <x:c r="G69" s="2"/>
      <x:c r="H69" s="2"/>
      <x:c r="I69" s="2"/>
      <x:c r="J69" s="2"/>
      <x:c r="K69" s="2"/>
      <x:c r="L69" s="2"/>
      <x:c r="M69" s="2"/>
      <x:c r="N69" s="2"/>
      <x:c r="O69" s="2"/>
      <x:c r="P69" s="2"/>
      <x:c r="Q69" s="2"/>
      <x:c r="R69" s="2"/>
      <x:c r="S69" s="2"/>
      <x:c r="T69" s="2"/>
      <x:c r="U69" s="2"/>
      <x:c r="V69" s="2"/>
      <x:c r="W69" s="2"/>
      <x:c r="X69" s="2"/>
      <x:c r="Y69" s="2"/>
      <x:c r="Z69" s="2"/>
      <x:c r="AA69" s="2"/>
      <x:c r="AB69" s="2"/>
      <x:c r="AC69" s="2"/>
      <x:c r="AD69" s="2"/>
      <x:c r="AE69" s="2"/>
    </x:row>
    <x:row r="70" ht="28" customHeight="1">
      <x:c r="C70" s="52" t="str">
        <x:v>2. Total capital returned at sale</x:v>
      </x:c>
      <x:c r="D70" s="52"/>
      <x:c r="E70" s="70" t="str">
        <x:f>IF('Inputs'!$E$56="On",MIN(E69,SUM(E63:E64)),"n.a.")</x:f>
        <x:v>n.a.</x:v>
      </x:c>
      <x:c r="F70" s="2"/>
      <x:c r="G70" s="6" t="str">
        <x:v>The same residual split applies to operations and exit. No catch-up tier, IRR hurdle, refinance distribution, tax allocation, investor-level debt or transfer is modeled. The actual operating agreement controls a real investment.</x:v>
      </x:c>
      <x:c r="H70" s="6"/>
      <x:c r="I70" s="6"/>
      <x:c r="J70" s="6"/>
      <x:c r="K70" s="6"/>
      <x:c r="L70" s="6"/>
      <x:c r="M70" s="6"/>
      <x:c r="N70" s="6"/>
      <x:c r="O70" s="6"/>
      <x:c r="P70" s="6"/>
      <x:c r="Q70" s="6"/>
      <x:c r="R70" s="6"/>
      <x:c r="S70" s="6"/>
      <x:c r="T70" s="2"/>
      <x:c r="U70" s="2"/>
      <x:c r="V70" s="2"/>
      <x:c r="W70" s="2"/>
      <x:c r="X70" s="2"/>
      <x:c r="Y70" s="2"/>
      <x:c r="Z70" s="2"/>
      <x:c r="AA70" s="2"/>
      <x:c r="AB70" s="2"/>
      <x:c r="AC70" s="2"/>
      <x:c r="AD70" s="2"/>
      <x:c r="AE70" s="2"/>
    </x:row>
    <x:row r="71" ht="28" customHeight="1">
      <x:c r="C71" s="2" t="str">
        <x:v>LP capital returned</x:v>
      </x:c>
      <x:c r="D71" s="2"/>
      <x:c r="E71" s="33" t="str">
        <x:f>IF('Inputs'!$E$56="On",IF(SUM(E63:E64)=0,0,E70*E63/SUM(E63:E64)),"n.a.")</x:f>
        <x:v>n.a.</x:v>
      </x:c>
      <x:c r="F71" s="2"/>
      <x:c r="G71" s="6"/>
      <x:c r="H71" s="6"/>
      <x:c r="I71" s="6"/>
      <x:c r="J71" s="6"/>
      <x:c r="K71" s="6"/>
      <x:c r="L71" s="6"/>
      <x:c r="M71" s="6"/>
      <x:c r="N71" s="6"/>
      <x:c r="O71" s="6"/>
      <x:c r="P71" s="6"/>
      <x:c r="Q71" s="6"/>
      <x:c r="R71" s="6"/>
      <x:c r="S71" s="6"/>
      <x:c r="T71" s="2"/>
      <x:c r="U71" s="2"/>
      <x:c r="V71" s="2"/>
      <x:c r="W71" s="2"/>
      <x:c r="X71" s="2"/>
      <x:c r="Y71" s="2"/>
      <x:c r="Z71" s="2"/>
      <x:c r="AA71" s="2"/>
      <x:c r="AB71" s="2"/>
      <x:c r="AC71" s="2"/>
      <x:c r="AD71" s="2"/>
      <x:c r="AE71" s="2"/>
    </x:row>
    <x:row r="72" ht="28" customHeight="1">
      <x:c r="C72" s="2" t="str">
        <x:v>GP capital returned</x:v>
      </x:c>
      <x:c r="D72" s="2"/>
      <x:c r="E72" s="33" t="str">
        <x:f>IF('Inputs'!$E$56="On",E70-E71,"n.a.")</x:f>
        <x:v>n.a.</x:v>
      </x:c>
      <x:c r="F72" s="2"/>
      <x:c r="G72" s="6"/>
      <x:c r="H72" s="6"/>
      <x:c r="I72" s="6"/>
      <x:c r="J72" s="6"/>
      <x:c r="K72" s="6"/>
      <x:c r="L72" s="6"/>
      <x:c r="M72" s="6"/>
      <x:c r="N72" s="6"/>
      <x:c r="O72" s="6"/>
      <x:c r="P72" s="6"/>
      <x:c r="Q72" s="6"/>
      <x:c r="R72" s="6"/>
      <x:c r="S72" s="6"/>
      <x:c r="T72" s="2"/>
      <x:c r="U72" s="2"/>
      <x:c r="V72" s="2"/>
      <x:c r="W72" s="2"/>
      <x:c r="X72" s="2"/>
      <x:c r="Y72" s="2"/>
      <x:c r="Z72" s="2"/>
      <x:c r="AA72" s="2"/>
      <x:c r="AB72" s="2"/>
      <x:c r="AC72" s="2"/>
      <x:c r="AD72" s="2"/>
      <x:c r="AE72" s="2"/>
    </x:row>
    <x:row r="73" ht="28" customHeight="1">
      <x:c r="C73" s="52" t="str">
        <x:v>Cash remaining for profit split</x:v>
      </x:c>
      <x:c r="D73" s="52"/>
      <x:c r="E73" s="70" t="str">
        <x:f>IF('Inputs'!$E$56="On",E69-E70,"n.a.")</x:f>
        <x:v>n.a.</x:v>
      </x:c>
      <x:c r="F73" s="2"/>
      <x:c r="G73" s="6"/>
      <x:c r="H73" s="6"/>
      <x:c r="I73" s="6"/>
      <x:c r="J73" s="6"/>
      <x:c r="K73" s="6"/>
      <x:c r="L73" s="6"/>
      <x:c r="M73" s="6"/>
      <x:c r="N73" s="6"/>
      <x:c r="O73" s="6"/>
      <x:c r="P73" s="6"/>
      <x:c r="Q73" s="6"/>
      <x:c r="R73" s="6"/>
      <x:c r="S73" s="6"/>
      <x:c r="T73" s="2"/>
      <x:c r="U73" s="2"/>
      <x:c r="V73" s="2"/>
      <x:c r="W73" s="2"/>
      <x:c r="X73" s="2"/>
      <x:c r="Y73" s="2"/>
      <x:c r="Z73" s="2"/>
      <x:c r="AA73" s="2"/>
      <x:c r="AB73" s="2"/>
      <x:c r="AC73" s="2"/>
      <x:c r="AD73" s="2"/>
      <x:c r="AE73" s="2"/>
    </x:row>
    <x:row r="74" ht="23" customHeight="1">
      <x:c r="C74" s="2" t="str">
        <x:v>3. LP share of residual sale profit</x:v>
      </x:c>
      <x:c r="D74" s="2"/>
      <x:c r="E74" s="33" t="str">
        <x:f>IF('Inputs'!$E$56="On",E73*$E$13,"n.a.")</x:f>
        <x:v>n.a.</x:v>
      </x:c>
      <x:c r="F74" s="2"/>
      <x:c r="G74" s="2"/>
      <x:c r="H74" s="2"/>
      <x:c r="I74" s="2"/>
      <x:c r="J74" s="2"/>
      <x:c r="K74" s="2"/>
      <x:c r="L74" s="2"/>
      <x:c r="M74" s="2"/>
      <x:c r="N74" s="2"/>
      <x:c r="O74" s="2"/>
      <x:c r="P74" s="2"/>
      <x:c r="Q74" s="2"/>
      <x:c r="R74" s="2"/>
      <x:c r="S74" s="2"/>
      <x:c r="T74" s="2"/>
      <x:c r="U74" s="2"/>
      <x:c r="V74" s="2"/>
      <x:c r="W74" s="2"/>
      <x:c r="X74" s="2"/>
      <x:c r="Y74" s="2"/>
      <x:c r="Z74" s="2"/>
      <x:c r="AA74" s="2"/>
      <x:c r="AB74" s="2"/>
      <x:c r="AC74" s="2"/>
      <x:c r="AD74" s="2"/>
      <x:c r="AE74" s="2"/>
    </x:row>
    <x:row r="75" ht="28" customHeight="1">
      <x:c r="C75" s="2" t="str">
        <x:v>GP share of residual sale profit</x:v>
      </x:c>
      <x:c r="D75" s="2"/>
      <x:c r="E75" s="33" t="str">
        <x:f>IF('Inputs'!$E$56="On",E73*$E$14,"n.a.")</x:f>
        <x:v>n.a.</x:v>
      </x:c>
      <x:c r="F75" s="2"/>
      <x:c r="G75" s="6" t="str">
        <x:v>Individual LP results are a pro-rata illustration of one pool. LPs are assumed to invest at acquisition on identical terms. A zero initial individual investment has no applicable return metric.</x:v>
      </x:c>
      <x:c r="H75" s="6"/>
      <x:c r="I75" s="6"/>
      <x:c r="J75" s="6"/>
      <x:c r="K75" s="6"/>
      <x:c r="L75" s="6"/>
      <x:c r="M75" s="6"/>
      <x:c r="N75" s="6"/>
      <x:c r="O75" s="6"/>
      <x:c r="P75" s="6"/>
      <x:c r="Q75" s="6"/>
      <x:c r="R75" s="6"/>
      <x:c r="S75" s="6"/>
      <x:c r="T75" s="2"/>
      <x:c r="U75" s="2"/>
      <x:c r="V75" s="2"/>
      <x:c r="W75" s="2"/>
      <x:c r="X75" s="2"/>
      <x:c r="Y75" s="2"/>
      <x:c r="Z75" s="2"/>
      <x:c r="AA75" s="2"/>
      <x:c r="AB75" s="2"/>
      <x:c r="AC75" s="2"/>
      <x:c r="AD75" s="2"/>
      <x:c r="AE75" s="2"/>
    </x:row>
    <x:row r="76" ht="28" customHeight="1">
      <x:c r="C76" s="2"/>
      <x:c r="D76" s="2"/>
      <x:c r="E76" s="2"/>
      <x:c r="F76" s="2"/>
      <x:c r="G76" s="6"/>
      <x:c r="H76" s="6"/>
      <x:c r="I76" s="6"/>
      <x:c r="J76" s="6"/>
      <x:c r="K76" s="6"/>
      <x:c r="L76" s="6"/>
      <x:c r="M76" s="6"/>
      <x:c r="N76" s="6"/>
      <x:c r="O76" s="6"/>
      <x:c r="P76" s="6"/>
      <x:c r="Q76" s="6"/>
      <x:c r="R76" s="6"/>
      <x:c r="S76" s="6"/>
      <x:c r="T76" s="2"/>
      <x:c r="U76" s="2"/>
      <x:c r="V76" s="2"/>
      <x:c r="W76" s="2"/>
      <x:c r="X76" s="2"/>
      <x:c r="Y76" s="2"/>
      <x:c r="Z76" s="2"/>
      <x:c r="AA76" s="2"/>
      <x:c r="AB76" s="2"/>
      <x:c r="AC76" s="2"/>
      <x:c r="AD76" s="2"/>
      <x:c r="AE76" s="2"/>
    </x:row>
    <x:row r="77" ht="28" customHeight="1">
      <x:c r="C77" s="52" t="str">
        <x:v>Total LP sale distributions</x:v>
      </x:c>
      <x:c r="D77" s="52"/>
      <x:c r="E77" s="70" t="str">
        <x:f>IF('Inputs'!$E$56="On",SUM(E68,E71,E74),"n.a.")</x:f>
        <x:v>n.a.</x:v>
      </x:c>
      <x:c r="F77" s="2"/>
      <x:c r="G77" s="6"/>
      <x:c r="H77" s="6"/>
      <x:c r="I77" s="6"/>
      <x:c r="J77" s="6"/>
      <x:c r="K77" s="6"/>
      <x:c r="L77" s="6"/>
      <x:c r="M77" s="6"/>
      <x:c r="N77" s="6"/>
      <x:c r="O77" s="6"/>
      <x:c r="P77" s="6"/>
      <x:c r="Q77" s="6"/>
      <x:c r="R77" s="6"/>
      <x:c r="S77" s="6"/>
      <x:c r="T77" s="2"/>
      <x:c r="U77" s="2"/>
      <x:c r="V77" s="2"/>
      <x:c r="W77" s="2"/>
      <x:c r="X77" s="2"/>
      <x:c r="Y77" s="2"/>
      <x:c r="Z77" s="2"/>
      <x:c r="AA77" s="2"/>
      <x:c r="AB77" s="2"/>
      <x:c r="AC77" s="2"/>
      <x:c r="AD77" s="2"/>
      <x:c r="AE77" s="2"/>
    </x:row>
    <x:row r="78" ht="23" customHeight="1">
      <x:c r="C78" s="52" t="str">
        <x:v>Total GP sale distributions</x:v>
      </x:c>
      <x:c r="D78" s="52"/>
      <x:c r="E78" s="70" t="str">
        <x:f>IF('Inputs'!$E$56="On",SUM(E72,E75),"n.a.")</x:f>
        <x:v>n.a.</x:v>
      </x:c>
      <x:c r="F78" s="2"/>
      <x:c r="G78" s="2"/>
      <x:c r="H78" s="2"/>
      <x:c r="I78" s="2"/>
      <x:c r="J78" s="2"/>
      <x:c r="K78" s="2"/>
      <x:c r="L78" s="2"/>
      <x:c r="M78" s="2"/>
      <x:c r="N78" s="2"/>
      <x:c r="O78" s="2"/>
      <x:c r="P78" s="2"/>
      <x:c r="Q78" s="2"/>
      <x:c r="R78" s="2"/>
      <x:c r="S78" s="2"/>
      <x:c r="T78" s="2"/>
      <x:c r="U78" s="2"/>
      <x:c r="V78" s="2"/>
      <x:c r="W78" s="2"/>
      <x:c r="X78" s="2"/>
      <x:c r="Y78" s="2"/>
      <x:c r="Z78" s="2"/>
      <x:c r="AA78" s="2"/>
      <x:c r="AB78" s="2"/>
      <x:c r="AC78" s="2"/>
      <x:c r="AD78" s="2"/>
      <x:c r="AE78" s="2"/>
    </x:row>
    <x:row r="79" ht="23" customHeight="1">
      <x:c r="C79" s="2"/>
      <x:c r="D79" s="2"/>
      <x:c r="E79" s="2"/>
      <x:c r="F79" s="2"/>
      <x:c r="G79" s="2"/>
      <x:c r="H79" s="2"/>
      <x:c r="I79" s="2"/>
      <x:c r="J79" s="2"/>
      <x:c r="K79" s="2"/>
      <x:c r="L79" s="2"/>
      <x:c r="M79" s="2"/>
      <x:c r="N79" s="2"/>
      <x:c r="O79" s="2"/>
      <x:c r="P79" s="2"/>
      <x:c r="Q79" s="2"/>
      <x:c r="R79" s="2"/>
      <x:c r="S79" s="2"/>
      <x:c r="T79" s="2"/>
      <x:c r="U79" s="2"/>
      <x:c r="V79" s="2"/>
      <x:c r="W79" s="2"/>
      <x:c r="X79" s="2"/>
      <x:c r="Y79" s="2"/>
      <x:c r="Z79" s="2"/>
      <x:c r="AA79" s="2"/>
      <x:c r="AB79" s="2"/>
      <x:c r="AC79" s="2"/>
      <x:c r="AD79" s="2"/>
      <x:c r="AE79" s="2"/>
    </x:row>
    <x:row r="80" ht="23" customHeight="1">
      <x:c r="C80" s="2" t="str">
        <x:v>Preferred return still unpaid</x:v>
      </x:c>
      <x:c r="D80" s="2"/>
      <x:c r="E80" s="33" t="str">
        <x:f>IF('Inputs'!$E$56="On",E67-E68,"n.a.")</x:f>
        <x:v>n.a.</x:v>
      </x:c>
      <x:c r="F80" s="2"/>
      <x:c r="G80" s="2"/>
      <x:c r="H80" s="2"/>
      <x:c r="I80" s="2"/>
      <x:c r="J80" s="2"/>
      <x:c r="K80" s="2"/>
      <x:c r="L80" s="2"/>
      <x:c r="M80" s="2"/>
      <x:c r="N80" s="2"/>
      <x:c r="O80" s="2"/>
      <x:c r="P80" s="2"/>
      <x:c r="Q80" s="2"/>
      <x:c r="R80" s="2"/>
      <x:c r="S80" s="2"/>
      <x:c r="T80" s="2"/>
      <x:c r="U80" s="2"/>
      <x:c r="V80" s="2"/>
      <x:c r="W80" s="2"/>
      <x:c r="X80" s="2"/>
      <x:c r="Y80" s="2"/>
      <x:c r="Z80" s="2"/>
      <x:c r="AA80" s="2"/>
      <x:c r="AB80" s="2"/>
      <x:c r="AC80" s="2"/>
      <x:c r="AD80" s="2"/>
      <x:c r="AE80" s="2"/>
    </x:row>
    <x:row r="81" ht="23" customHeight="1">
      <x:c r="C81" s="2" t="str">
        <x:v>LP contributed capital not returned</x:v>
      </x:c>
      <x:c r="D81" s="2"/>
      <x:c r="E81" s="33" t="str">
        <x:f>IF('Inputs'!$E$56="On",SUM(E63,E65)-E71,"n.a.")</x:f>
        <x:v>n.a.</x:v>
      </x:c>
      <x:c r="F81" s="2"/>
      <x:c r="G81" s="2"/>
      <x:c r="H81" s="2"/>
      <x:c r="I81" s="2"/>
      <x:c r="J81" s="2"/>
      <x:c r="K81" s="2"/>
      <x:c r="L81" s="2"/>
      <x:c r="M81" s="2"/>
      <x:c r="N81" s="2"/>
      <x:c r="O81" s="2"/>
      <x:c r="P81" s="2"/>
      <x:c r="Q81" s="2"/>
      <x:c r="R81" s="2"/>
      <x:c r="S81" s="2"/>
      <x:c r="T81" s="2"/>
      <x:c r="U81" s="2"/>
      <x:c r="V81" s="2"/>
      <x:c r="W81" s="2"/>
      <x:c r="X81" s="2"/>
      <x:c r="Y81" s="2"/>
      <x:c r="Z81" s="2"/>
      <x:c r="AA81" s="2"/>
      <x:c r="AB81" s="2"/>
      <x:c r="AC81" s="2"/>
      <x:c r="AD81" s="2"/>
      <x:c r="AE81" s="2"/>
    </x:row>
    <x:row r="82" ht="23" customHeight="1">
      <x:c r="C82" s="2" t="str">
        <x:v>GP contributed capital not returned</x:v>
      </x:c>
      <x:c r="D82" s="2"/>
      <x:c r="E82" s="33" t="str">
        <x:f>IF('Inputs'!$E$56="On",SUM(E64,E66)-E72,"n.a.")</x:f>
        <x:v>n.a.</x:v>
      </x:c>
      <x:c r="F82" s="2"/>
      <x:c r="G82" s="2"/>
      <x:c r="H82" s="2"/>
      <x:c r="I82" s="2"/>
      <x:c r="J82" s="2"/>
      <x:c r="K82" s="2"/>
      <x:c r="L82" s="2"/>
      <x:c r="M82" s="2"/>
      <x:c r="N82" s="2"/>
      <x:c r="O82" s="2"/>
      <x:c r="P82" s="2"/>
      <x:c r="Q82" s="2"/>
      <x:c r="R82" s="2"/>
      <x:c r="S82" s="2"/>
      <x:c r="T82" s="2"/>
      <x:c r="U82" s="2"/>
      <x:c r="V82" s="2"/>
      <x:c r="W82" s="2"/>
      <x:c r="X82" s="2"/>
      <x:c r="Y82" s="2"/>
      <x:c r="Z82" s="2"/>
      <x:c r="AA82" s="2"/>
      <x:c r="AB82" s="2"/>
      <x:c r="AC82" s="2"/>
      <x:c r="AD82" s="2"/>
      <x:c r="AE82" s="2"/>
    </x:row>
    <x:row r="83" ht="23" customHeight="1">
      <x:c r="C83" s="2"/>
      <x:c r="D83" s="2"/>
      <x:c r="E83" s="2"/>
      <x:c r="F83" s="2"/>
      <x:c r="G83" s="2"/>
      <x:c r="H83" s="2"/>
      <x:c r="I83" s="2"/>
      <x:c r="J83" s="2"/>
      <x:c r="K83" s="2"/>
      <x:c r="L83" s="2"/>
      <x:c r="M83" s="2"/>
      <x:c r="N83" s="2"/>
      <x:c r="O83" s="2"/>
      <x:c r="P83" s="2"/>
      <x:c r="Q83" s="2"/>
      <x:c r="R83" s="2"/>
      <x:c r="S83" s="2"/>
      <x:c r="T83" s="2"/>
      <x:c r="U83" s="2"/>
      <x:c r="V83" s="2"/>
      <x:c r="W83" s="2"/>
      <x:c r="X83" s="2"/>
      <x:c r="Y83" s="2"/>
      <x:c r="Z83" s="2"/>
      <x:c r="AA83" s="2"/>
      <x:c r="AB83" s="2"/>
      <x:c r="AC83" s="2"/>
      <x:c r="AD83" s="2"/>
      <x:c r="AE83" s="2"/>
    </x:row>
    <x:row r="84" ht="24" customHeight="1">
      <x:c r="C84" s="2"/>
      <x:c r="D84" s="2"/>
      <x:c r="E84" s="2"/>
      <x:c r="F84" s="2"/>
      <x:c r="G84" s="8" t="str">
        <x:v>LP annual IRR convergence</x:v>
      </x:c>
      <x:c r="H84" s="8"/>
      <x:c r="I84" s="8"/>
      <x:c r="J84" s="8"/>
      <x:c r="K84" s="2"/>
      <x:c r="L84" s="2"/>
      <x:c r="M84" s="2"/>
      <x:c r="N84" s="2"/>
      <x:c r="O84" s="2"/>
      <x:c r="P84" s="2"/>
      <x:c r="Q84" s="2"/>
      <x:c r="R84" s="2"/>
      <x:c r="S84" s="2"/>
      <x:c r="T84" s="2"/>
      <x:c r="U84" s="2"/>
      <x:c r="V84" s="2"/>
      <x:c r="W84" s="2"/>
      <x:c r="X84" s="2"/>
      <x:c r="Y84" s="2"/>
      <x:c r="Z84" s="2"/>
      <x:c r="AA84" s="2"/>
      <x:c r="AB84" s="2"/>
      <x:c r="AC84" s="2"/>
      <x:c r="AD84" s="2"/>
      <x:c r="AE84" s="2"/>
    </x:row>
    <x:row r="85" ht="43" customHeight="1">
      <x:c r="C85" s="2"/>
      <x:c r="D85" s="2"/>
      <x:c r="E85" s="2"/>
      <x:c r="F85" s="2"/>
      <x:c r="G85" s="15" t="str">
        <x:v>Method</x:v>
      </x:c>
      <x:c r="H85" s="16" t="str">
        <x:v>Candidate IRR</x:v>
      </x:c>
      <x:c r="I85" s="16" t="str">
        <x:v>NPV residual</x:v>
      </x:c>
      <x:c r="J85" s="17" t="str">
        <x:v>Valid root</x:v>
      </x:c>
      <x:c r="K85" s="2"/>
      <x:c r="L85" s="2"/>
      <x:c r="M85" s="2"/>
      <x:c r="N85" s="2"/>
      <x:c r="O85" s="2"/>
      <x:c r="P85" s="2"/>
      <x:c r="Q85" s="2"/>
      <x:c r="R85" s="2"/>
      <x:c r="S85" s="2"/>
      <x:c r="T85" s="2"/>
      <x:c r="U85" s="2"/>
      <x:c r="V85" s="2"/>
      <x:c r="W85" s="2"/>
      <x:c r="X85" s="2"/>
      <x:c r="Y85" s="2"/>
      <x:c r="Z85" s="2"/>
      <x:c r="AA85" s="2"/>
      <x:c r="AB85" s="2"/>
      <x:c r="AC85" s="2"/>
      <x:c r="AD85" s="2"/>
      <x:c r="AE85" s="2"/>
    </x:row>
    <x:row r="86" ht="23" customHeight="1">
      <x:c r="C86" s="2"/>
      <x:c r="D86" s="2"/>
      <x:c r="E86" s="2"/>
      <x:c r="F86" s="2"/>
      <x:c r="G86" s="2" t="str">
        <x:v>IRR</x:v>
      </x:c>
      <x:c r="H86" s="43" t="str">
        <x:f>IF(AND('Inputs'!$E$56="On",SUM($X$26:$X$56)=1),IFERROR(IRR($V$26:$V$56),"n.a."),"n.a.")</x:f>
        <x:v>n.a.</x:v>
      </x:c>
      <x:c r="I86" s="60" t="str">
        <x:f>IF(ISNUMBER(H86),IFERROR($V$26+NPV(H86,$V$27:$V$56),"n.a."),"n.a.")</x:f>
        <x:v>n.a.</x:v>
      </x:c>
      <x:c r="J86" s="46" t="n">
        <x:f>IF(ISNUMBER(I86),IF(AND(H86&gt;-1,ABS(I86)&lt;0.01),1,0),0)</x:f>
        <x:v>0</x:v>
      </x:c>
      <x:c r="K86" s="2"/>
      <x:c r="L86" s="2"/>
      <x:c r="M86" s="2"/>
      <x:c r="N86" s="2"/>
      <x:c r="O86" s="2"/>
      <x:c r="P86" s="2"/>
      <x:c r="Q86" s="2"/>
      <x:c r="R86" s="2"/>
      <x:c r="S86" s="2"/>
      <x:c r="T86" s="2"/>
      <x:c r="U86" s="2"/>
      <x:c r="V86" s="2"/>
      <x:c r="W86" s="2"/>
      <x:c r="X86" s="2"/>
      <x:c r="Y86" s="2"/>
      <x:c r="Z86" s="2"/>
      <x:c r="AA86" s="2"/>
      <x:c r="AB86" s="2"/>
      <x:c r="AC86" s="2"/>
      <x:c r="AD86" s="2"/>
      <x:c r="AE86" s="2"/>
    </x:row>
    <x:row r="87" ht="23" customHeight="1">
      <x:c r="C87" s="2"/>
      <x:c r="D87" s="2"/>
      <x:c r="E87" s="2"/>
      <x:c r="F87" s="2"/>
      <x:c r="G87" s="2" t="str">
        <x:v>Root search</x:v>
      </x:c>
      <x:c r="H87" s="43" t="str">
        <x:f>IF(AND('Inputs'!$E$56="On",SUM($X$26:$X$56)=1,$E$9&gt;0),J151,"n.a.")</x:f>
        <x:v>n.a.</x:v>
      </x:c>
      <x:c r="I87" s="60" t="str">
        <x:f>IF(ISNUMBER(H87),IFERROR($V$26+NPV(H87,$V$27:$V$56),"n.a."),"n.a.")</x:f>
        <x:v>n.a.</x:v>
      </x:c>
      <x:c r="J87" s="46" t="n">
        <x:f>IF(ISNUMBER(I87),IF(AND(H87&gt;-1,ABS(I87)&lt;0.01),1,0),0)</x:f>
        <x:v>0</x:v>
      </x:c>
      <x:c r="K87" s="2"/>
      <x:c r="L87" s="2"/>
      <x:c r="M87" s="2"/>
      <x:c r="N87" s="2"/>
      <x:c r="O87" s="2"/>
      <x:c r="P87" s="2"/>
      <x:c r="Q87" s="2"/>
      <x:c r="R87" s="2"/>
      <x:c r="S87" s="2"/>
      <x:c r="T87" s="2"/>
      <x:c r="U87" s="2"/>
      <x:c r="V87" s="2"/>
      <x:c r="W87" s="2"/>
      <x:c r="X87" s="2"/>
      <x:c r="Y87" s="2"/>
      <x:c r="Z87" s="2"/>
      <x:c r="AA87" s="2"/>
      <x:c r="AB87" s="2"/>
      <x:c r="AC87" s="2"/>
      <x:c r="AD87" s="2"/>
      <x:c r="AE87" s="2"/>
    </x:row>
    <x:row r="88" ht="23" customHeight="1">
      <x:c r="C88" s="2"/>
      <x:c r="D88" s="2"/>
      <x:c r="E88" s="2"/>
      <x:c r="F88" s="2"/>
      <x:c r="G88" s="2"/>
      <x:c r="H88" s="2"/>
      <x:c r="I88" s="2"/>
      <x:c r="J88" s="2"/>
      <x:c r="K88" s="2"/>
      <x:c r="L88" s="2"/>
      <x:c r="M88" s="2"/>
      <x:c r="N88" s="2"/>
      <x:c r="O88" s="2"/>
      <x:c r="P88" s="2"/>
      <x:c r="Q88" s="2"/>
      <x:c r="R88" s="2"/>
      <x:c r="S88" s="2"/>
      <x:c r="T88" s="2"/>
      <x:c r="U88" s="2"/>
      <x:c r="V88" s="2"/>
      <x:c r="W88" s="2"/>
      <x:c r="X88" s="2"/>
      <x:c r="Y88" s="2"/>
      <x:c r="Z88" s="2"/>
      <x:c r="AA88" s="2"/>
      <x:c r="AB88" s="2"/>
      <x:c r="AC88" s="2"/>
      <x:c r="AD88" s="2"/>
      <x:c r="AE88" s="2"/>
    </x:row>
    <x:row r="89" ht="23" customHeight="1">
      <x:c r="C89" s="2"/>
      <x:c r="D89" s="2"/>
      <x:c r="E89" s="2"/>
      <x:c r="F89" s="2"/>
      <x:c r="G89" s="2"/>
      <x:c r="H89" s="2"/>
      <x:c r="I89" s="2"/>
      <x:c r="J89" s="2"/>
      <x:c r="K89" s="2"/>
      <x:c r="L89" s="2"/>
      <x:c r="M89" s="2"/>
      <x:c r="N89" s="2"/>
      <x:c r="O89" s="2"/>
      <x:c r="P89" s="2"/>
      <x:c r="Q89" s="2"/>
      <x:c r="R89" s="2"/>
      <x:c r="S89" s="2"/>
      <x:c r="T89" s="2"/>
      <x:c r="U89" s="2"/>
      <x:c r="V89" s="2"/>
      <x:c r="W89" s="2"/>
      <x:c r="X89" s="2"/>
      <x:c r="Y89" s="2"/>
      <x:c r="Z89" s="2"/>
      <x:c r="AA89" s="2"/>
      <x:c r="AB89" s="2"/>
      <x:c r="AC89" s="2"/>
      <x:c r="AD89" s="2"/>
      <x:c r="AE89" s="2"/>
    </x:row>
    <x:row r="90" ht="23" customHeight="1">
      <x:c r="C90" s="2"/>
      <x:c r="D90" s="2"/>
      <x:c r="E90" s="2"/>
      <x:c r="F90" s="2"/>
      <x:c r="G90" s="2"/>
      <x:c r="H90" s="2"/>
      <x:c r="I90" s="2"/>
      <x:c r="J90" s="2"/>
      <x:c r="K90" s="2"/>
      <x:c r="L90" s="2"/>
      <x:c r="M90" s="2"/>
      <x:c r="N90" s="2"/>
      <x:c r="O90" s="2"/>
      <x:c r="P90" s="2"/>
      <x:c r="Q90" s="2"/>
      <x:c r="R90" s="2"/>
      <x:c r="S90" s="2"/>
      <x:c r="T90" s="2"/>
      <x:c r="U90" s="2"/>
      <x:c r="V90" s="2"/>
      <x:c r="W90" s="2"/>
      <x:c r="X90" s="2"/>
      <x:c r="Y90" s="2"/>
      <x:c r="Z90" s="2"/>
      <x:c r="AA90" s="2"/>
      <x:c r="AB90" s="2"/>
      <x:c r="AC90" s="2"/>
      <x:c r="AD90" s="2"/>
      <x:c r="AE90" s="2"/>
    </x:row>
    <x:row r="91" ht="23" customHeight="1">
      <x:c r="C91" s="2"/>
      <x:c r="D91" s="2"/>
      <x:c r="E91" s="2"/>
      <x:c r="F91" s="2"/>
      <x:c r="G91" s="2"/>
      <x:c r="H91" s="2"/>
      <x:c r="I91" s="2"/>
      <x:c r="J91" s="2"/>
      <x:c r="K91" s="2"/>
      <x:c r="L91" s="2"/>
      <x:c r="M91" s="2"/>
      <x:c r="N91" s="2"/>
      <x:c r="O91" s="2"/>
      <x:c r="P91" s="2"/>
      <x:c r="Q91" s="2"/>
      <x:c r="R91" s="2"/>
      <x:c r="S91" s="2"/>
      <x:c r="T91" s="2"/>
      <x:c r="U91" s="2"/>
      <x:c r="V91" s="2"/>
      <x:c r="W91" s="2"/>
      <x:c r="X91" s="2"/>
      <x:c r="Y91" s="2"/>
      <x:c r="Z91" s="2"/>
      <x:c r="AA91" s="2"/>
      <x:c r="AB91" s="2"/>
      <x:c r="AC91" s="2"/>
      <x:c r="AD91" s="2"/>
      <x:c r="AE91" s="2"/>
    </x:row>
    <x:row r="92" ht="23" customHeight="1">
      <x:c r="C92" s="2"/>
      <x:c r="D92" s="2"/>
      <x:c r="E92" s="2"/>
      <x:c r="F92" s="2"/>
      <x:c r="G92" s="2"/>
      <x:c r="H92" s="2"/>
      <x:c r="I92" s="2"/>
      <x:c r="J92" s="2"/>
      <x:c r="K92" s="2"/>
      <x:c r="L92" s="2"/>
      <x:c r="M92" s="2"/>
      <x:c r="N92" s="2"/>
      <x:c r="O92" s="2"/>
      <x:c r="P92" s="2"/>
      <x:c r="Q92" s="2"/>
      <x:c r="R92" s="2"/>
      <x:c r="S92" s="2"/>
      <x:c r="T92" s="2"/>
      <x:c r="U92" s="2"/>
      <x:c r="V92" s="2"/>
      <x:c r="W92" s="2"/>
      <x:c r="X92" s="2"/>
      <x:c r="Y92" s="2"/>
      <x:c r="Z92" s="2"/>
      <x:c r="AA92" s="2"/>
      <x:c r="AB92" s="2"/>
      <x:c r="AC92" s="2"/>
      <x:c r="AD92" s="2"/>
      <x:c r="AE92" s="2"/>
    </x:row>
    <x:row r="93" ht="23" customHeight="1">
      <x:c r="C93" s="2"/>
      <x:c r="D93" s="2"/>
      <x:c r="E93" s="2"/>
      <x:c r="F93" s="2"/>
      <x:c r="G93" s="2"/>
      <x:c r="H93" s="2"/>
      <x:c r="I93" s="2"/>
      <x:c r="J93" s="2"/>
      <x:c r="K93" s="2"/>
      <x:c r="L93" s="2"/>
      <x:c r="M93" s="2"/>
      <x:c r="N93" s="2"/>
      <x:c r="O93" s="2"/>
      <x:c r="P93" s="2"/>
      <x:c r="Q93" s="2"/>
      <x:c r="R93" s="2"/>
      <x:c r="S93" s="2"/>
      <x:c r="T93" s="2"/>
      <x:c r="U93" s="2"/>
      <x:c r="V93" s="2"/>
      <x:c r="W93" s="2"/>
      <x:c r="X93" s="2"/>
      <x:c r="Y93" s="2"/>
      <x:c r="Z93" s="2"/>
      <x:c r="AA93" s="2"/>
      <x:c r="AB93" s="2"/>
      <x:c r="AC93" s="2"/>
      <x:c r="AD93" s="2"/>
      <x:c r="AE93" s="2"/>
    </x:row>
    <x:row r="94" ht="23" customHeight="1">
      <x:c r="C94" s="2"/>
      <x:c r="D94" s="2"/>
      <x:c r="E94" s="2"/>
      <x:c r="F94" s="2"/>
      <x:c r="G94" s="2"/>
      <x:c r="H94" s="2"/>
      <x:c r="I94" s="2"/>
      <x:c r="J94" s="2"/>
      <x:c r="K94" s="2"/>
      <x:c r="L94" s="2"/>
      <x:c r="M94" s="2"/>
      <x:c r="N94" s="2"/>
      <x:c r="O94" s="2"/>
      <x:c r="P94" s="2"/>
      <x:c r="Q94" s="2"/>
      <x:c r="R94" s="2"/>
      <x:c r="S94" s="2"/>
      <x:c r="T94" s="2"/>
      <x:c r="U94" s="2"/>
      <x:c r="V94" s="2"/>
      <x:c r="W94" s="2"/>
      <x:c r="X94" s="2"/>
      <x:c r="Y94" s="2"/>
      <x:c r="Z94" s="2"/>
      <x:c r="AA94" s="2"/>
      <x:c r="AB94" s="2"/>
      <x:c r="AC94" s="2"/>
      <x:c r="AD94" s="2"/>
      <x:c r="AE94" s="2"/>
    </x:row>
    <x:row r="95" ht="24" customHeight="1">
      <x:c r="C95" s="2"/>
      <x:c r="D95" s="2"/>
      <x:c r="E95" s="2"/>
      <x:c r="F95" s="2"/>
      <x:c r="G95" s="8" t="str">
        <x:v>LP annual return root search</x:v>
      </x:c>
      <x:c r="H95" s="8"/>
      <x:c r="I95" s="8"/>
      <x:c r="J95" s="8"/>
      <x:c r="K95" s="8"/>
      <x:c r="L95" s="2"/>
      <x:c r="M95" s="2"/>
      <x:c r="N95" s="2"/>
      <x:c r="O95" s="2"/>
      <x:c r="P95" s="2"/>
      <x:c r="Q95" s="2"/>
      <x:c r="R95" s="2"/>
      <x:c r="S95" s="2"/>
      <x:c r="T95" s="2"/>
      <x:c r="U95" s="2"/>
      <x:c r="V95" s="2"/>
      <x:c r="W95" s="2"/>
      <x:c r="X95" s="2"/>
      <x:c r="Y95" s="2"/>
      <x:c r="Z95" s="2"/>
      <x:c r="AA95" s="2"/>
      <x:c r="AB95" s="2"/>
      <x:c r="AC95" s="2"/>
      <x:c r="AD95" s="2"/>
      <x:c r="AE95" s="2"/>
    </x:row>
    <x:row r="96" ht="43" customHeight="1">
      <x:c r="C96" s="2"/>
      <x:c r="D96" s="2"/>
      <x:c r="E96" s="2"/>
      <x:c r="F96" s="2"/>
      <x:c r="G96" s="15" t="str">
        <x:v>Step</x:v>
      </x:c>
      <x:c r="H96" s="16" t="str">
        <x:v>Lower bound</x:v>
      </x:c>
      <x:c r="I96" s="16" t="str">
        <x:v>Upper bound</x:v>
      </x:c>
      <x:c r="J96" s="16" t="str">
        <x:v>Midpoint rate</x:v>
      </x:c>
      <x:c r="K96" s="17" t="str">
        <x:v>NPV at midpoint</x:v>
      </x:c>
      <x:c r="L96" s="2"/>
      <x:c r="M96" s="2"/>
      <x:c r="N96" s="2"/>
      <x:c r="O96" s="2"/>
      <x:c r="P96" s="2"/>
      <x:c r="Q96" s="2"/>
      <x:c r="R96" s="2"/>
      <x:c r="S96" s="2"/>
      <x:c r="T96" s="2"/>
      <x:c r="U96" s="2"/>
      <x:c r="V96" s="2"/>
      <x:c r="W96" s="2"/>
      <x:c r="X96" s="2"/>
      <x:c r="Y96" s="2"/>
      <x:c r="Z96" s="2"/>
      <x:c r="AA96" s="2"/>
      <x:c r="AB96" s="2"/>
      <x:c r="AC96" s="2"/>
      <x:c r="AD96" s="2"/>
      <x:c r="AE96" s="2"/>
    </x:row>
    <x:row r="97" ht="23" customHeight="1">
      <x:c r="C97" s="2"/>
      <x:c r="D97" s="2"/>
      <x:c r="E97" s="2"/>
      <x:c r="F97" s="2"/>
      <x:c r="G97" s="2" t="n">
        <x:v>1</x:v>
      </x:c>
      <x:c r="H97" s="72" t="n">
        <x:f>IF(AND('Inputs'!$E$56="On",SUM($X$26:$X$56)=1,$E$9&gt;0),-0.999999,0)</x:f>
        <x:v>0</x:v>
      </x:c>
      <x:c r="I97" s="72" t="n">
        <x:f>IF(AND('Inputs'!$E$56="On",SUM($X$26:$X$56)=1,$E$9&gt;0),MAX(1,$E$18/$E$9),0)</x:f>
        <x:v>0</x:v>
      </x:c>
      <x:c r="J97" s="61" t="n">
        <x:f>AVERAGE(H97:I97)</x:f>
        <x:v>0</x:v>
      </x:c>
      <x:c r="K97" s="73" t="n">
        <x:f>IF(AND('Inputs'!$E$56="On",SUM($X$26:$X$56)=1,$E$9&gt;0),$V$26+NPV(J97,$V$27:$V$56),0)</x:f>
        <x:v>0</x:v>
      </x:c>
      <x:c r="L97" s="2"/>
      <x:c r="M97" s="2"/>
      <x:c r="N97" s="2"/>
      <x:c r="O97" s="2"/>
      <x:c r="P97" s="2"/>
      <x:c r="Q97" s="2"/>
      <x:c r="R97" s="2"/>
      <x:c r="S97" s="2"/>
      <x:c r="T97" s="2"/>
      <x:c r="U97" s="2"/>
      <x:c r="V97" s="2"/>
      <x:c r="W97" s="2"/>
      <x:c r="X97" s="2"/>
      <x:c r="Y97" s="2"/>
      <x:c r="Z97" s="2"/>
      <x:c r="AA97" s="2"/>
      <x:c r="AB97" s="2"/>
      <x:c r="AC97" s="2"/>
      <x:c r="AD97" s="2"/>
      <x:c r="AE97" s="2"/>
    </x:row>
    <x:row r="98" ht="23" customHeight="1">
      <x:c r="C98" s="2"/>
      <x:c r="D98" s="2"/>
      <x:c r="E98" s="2"/>
      <x:c r="F98" s="2"/>
      <x:c r="G98" s="2" t="n">
        <x:v>2</x:v>
      </x:c>
      <x:c r="H98" s="72" t="n">
        <x:f>IF(AND('Inputs'!$E$56="On",SUM($X$26:$X$56)=1,$E$9&gt;0),IF(K97&gt;0,J97,H97),0)</x:f>
        <x:v>0</x:v>
      </x:c>
      <x:c r="I98" s="72" t="n">
        <x:f>IF(AND('Inputs'!$E$56="On",SUM($X$26:$X$56)=1,$E$9&gt;0),IF(K97&gt;0,I97,J97),0)</x:f>
        <x:v>0</x:v>
      </x:c>
      <x:c r="J98" s="61" t="n">
        <x:f>AVERAGE(H98:I98)</x:f>
        <x:v>0</x:v>
      </x:c>
      <x:c r="K98" s="73" t="n">
        <x:f>IF(AND('Inputs'!$E$56="On",SUM($X$26:$X$56)=1,$E$9&gt;0),$V$26+NPV(J98,$V$27:$V$56),0)</x:f>
        <x:v>0</x:v>
      </x:c>
      <x:c r="L98" s="2"/>
      <x:c r="M98" s="2"/>
      <x:c r="N98" s="2"/>
      <x:c r="O98" s="2"/>
      <x:c r="P98" s="2"/>
      <x:c r="Q98" s="2"/>
      <x:c r="R98" s="2"/>
      <x:c r="S98" s="2"/>
      <x:c r="T98" s="2"/>
      <x:c r="U98" s="2"/>
      <x:c r="V98" s="2"/>
      <x:c r="W98" s="2"/>
      <x:c r="X98" s="2"/>
      <x:c r="Y98" s="2"/>
      <x:c r="Z98" s="2"/>
      <x:c r="AA98" s="2"/>
      <x:c r="AB98" s="2"/>
      <x:c r="AC98" s="2"/>
      <x:c r="AD98" s="2"/>
      <x:c r="AE98" s="2"/>
    </x:row>
    <x:row r="99" ht="23" customHeight="1">
      <x:c r="C99" s="2"/>
      <x:c r="D99" s="2"/>
      <x:c r="E99" s="2"/>
      <x:c r="F99" s="2"/>
      <x:c r="G99" s="2" t="n">
        <x:v>3</x:v>
      </x:c>
      <x:c r="H99" s="72" t="n">
        <x:f>IF(AND('Inputs'!$E$56="On",SUM($X$26:$X$56)=1,$E$9&gt;0),IF(K98&gt;0,J98,H98),0)</x:f>
        <x:v>0</x:v>
      </x:c>
      <x:c r="I99" s="72" t="n">
        <x:f>IF(AND('Inputs'!$E$56="On",SUM($X$26:$X$56)=1,$E$9&gt;0),IF(K98&gt;0,I98,J98),0)</x:f>
        <x:v>0</x:v>
      </x:c>
      <x:c r="J99" s="61" t="n">
        <x:f>AVERAGE(H99:I99)</x:f>
        <x:v>0</x:v>
      </x:c>
      <x:c r="K99" s="73" t="n">
        <x:f>IF(AND('Inputs'!$E$56="On",SUM($X$26:$X$56)=1,$E$9&gt;0),$V$26+NPV(J99,$V$27:$V$56),0)</x:f>
        <x:v>0</x:v>
      </x:c>
      <x:c r="L99" s="2"/>
      <x:c r="M99" s="2"/>
      <x:c r="N99" s="2"/>
      <x:c r="O99" s="2"/>
      <x:c r="P99" s="2"/>
      <x:c r="Q99" s="2"/>
      <x:c r="R99" s="2"/>
      <x:c r="S99" s="2"/>
      <x:c r="T99" s="2"/>
      <x:c r="U99" s="2"/>
      <x:c r="V99" s="2"/>
      <x:c r="W99" s="2"/>
      <x:c r="X99" s="2"/>
      <x:c r="Y99" s="2"/>
      <x:c r="Z99" s="2"/>
      <x:c r="AA99" s="2"/>
      <x:c r="AB99" s="2"/>
      <x:c r="AC99" s="2"/>
      <x:c r="AD99" s="2"/>
      <x:c r="AE99" s="2"/>
    </x:row>
    <x:row r="100" ht="23" customHeight="1">
      <x:c r="C100" s="2"/>
      <x:c r="D100" s="2"/>
      <x:c r="E100" s="2"/>
      <x:c r="F100" s="2"/>
      <x:c r="G100" s="2" t="n">
        <x:v>4</x:v>
      </x:c>
      <x:c r="H100" s="72" t="n">
        <x:f>IF(AND('Inputs'!$E$56="On",SUM($X$26:$X$56)=1,$E$9&gt;0),IF(K99&gt;0,J99,H99),0)</x:f>
        <x:v>0</x:v>
      </x:c>
      <x:c r="I100" s="72" t="n">
        <x:f>IF(AND('Inputs'!$E$56="On",SUM($X$26:$X$56)=1,$E$9&gt;0),IF(K99&gt;0,I99,J99),0)</x:f>
        <x:v>0</x:v>
      </x:c>
      <x:c r="J100" s="61" t="n">
        <x:f>AVERAGE(H100:I100)</x:f>
        <x:v>0</x:v>
      </x:c>
      <x:c r="K100" s="73" t="n">
        <x:f>IF(AND('Inputs'!$E$56="On",SUM($X$26:$X$56)=1,$E$9&gt;0),$V$26+NPV(J100,$V$27:$V$56),0)</x:f>
        <x:v>0</x:v>
      </x:c>
      <x:c r="L100" s="2"/>
      <x:c r="M100" s="2"/>
      <x:c r="N100" s="2"/>
      <x:c r="O100" s="2"/>
      <x:c r="P100" s="2"/>
      <x:c r="Q100" s="2"/>
      <x:c r="R100" s="2"/>
      <x:c r="S100" s="2"/>
      <x:c r="T100" s="2"/>
      <x:c r="U100" s="2"/>
      <x:c r="V100" s="2"/>
      <x:c r="W100" s="2"/>
      <x:c r="X100" s="2"/>
      <x:c r="Y100" s="2"/>
      <x:c r="Z100" s="2"/>
      <x:c r="AA100" s="2"/>
      <x:c r="AB100" s="2"/>
      <x:c r="AC100" s="2"/>
      <x:c r="AD100" s="2"/>
      <x:c r="AE100" s="2"/>
    </x:row>
    <x:row r="101" ht="23" customHeight="1">
      <x:c r="C101" s="2"/>
      <x:c r="D101" s="2"/>
      <x:c r="E101" s="2"/>
      <x:c r="F101" s="2"/>
      <x:c r="G101" s="2" t="n">
        <x:v>5</x:v>
      </x:c>
      <x:c r="H101" s="72" t="n">
        <x:f>IF(AND('Inputs'!$E$56="On",SUM($X$26:$X$56)=1,$E$9&gt;0),IF(K100&gt;0,J100,H100),0)</x:f>
        <x:v>0</x:v>
      </x:c>
      <x:c r="I101" s="72" t="n">
        <x:f>IF(AND('Inputs'!$E$56="On",SUM($X$26:$X$56)=1,$E$9&gt;0),IF(K100&gt;0,I100,J100),0)</x:f>
        <x:v>0</x:v>
      </x:c>
      <x:c r="J101" s="61" t="n">
        <x:f>AVERAGE(H101:I101)</x:f>
        <x:v>0</x:v>
      </x:c>
      <x:c r="K101" s="73" t="n">
        <x:f>IF(AND('Inputs'!$E$56="On",SUM($X$26:$X$56)=1,$E$9&gt;0),$V$26+NPV(J101,$V$27:$V$56),0)</x:f>
        <x:v>0</x:v>
      </x:c>
      <x:c r="L101" s="2"/>
      <x:c r="M101" s="2"/>
      <x:c r="N101" s="2"/>
      <x:c r="O101" s="2"/>
      <x:c r="P101" s="2"/>
      <x:c r="Q101" s="2"/>
      <x:c r="R101" s="2"/>
      <x:c r="S101" s="2"/>
      <x:c r="T101" s="2"/>
      <x:c r="U101" s="2"/>
      <x:c r="V101" s="2"/>
      <x:c r="W101" s="2"/>
      <x:c r="X101" s="2"/>
      <x:c r="Y101" s="2"/>
      <x:c r="Z101" s="2"/>
      <x:c r="AA101" s="2"/>
      <x:c r="AB101" s="2"/>
      <x:c r="AC101" s="2"/>
      <x:c r="AD101" s="2"/>
      <x:c r="AE101" s="2"/>
    </x:row>
    <x:row r="102" ht="23" customHeight="1">
      <x:c r="C102" s="2"/>
      <x:c r="D102" s="2"/>
      <x:c r="E102" s="2"/>
      <x:c r="F102" s="2"/>
      <x:c r="G102" s="2" t="n">
        <x:v>6</x:v>
      </x:c>
      <x:c r="H102" s="72" t="n">
        <x:f>IF(AND('Inputs'!$E$56="On",SUM($X$26:$X$56)=1,$E$9&gt;0),IF(K101&gt;0,J101,H101),0)</x:f>
        <x:v>0</x:v>
      </x:c>
      <x:c r="I102" s="72" t="n">
        <x:f>IF(AND('Inputs'!$E$56="On",SUM($X$26:$X$56)=1,$E$9&gt;0),IF(K101&gt;0,I101,J101),0)</x:f>
        <x:v>0</x:v>
      </x:c>
      <x:c r="J102" s="61" t="n">
        <x:f>AVERAGE(H102:I102)</x:f>
        <x:v>0</x:v>
      </x:c>
      <x:c r="K102" s="73" t="n">
        <x:f>IF(AND('Inputs'!$E$56="On",SUM($X$26:$X$56)=1,$E$9&gt;0),$V$26+NPV(J102,$V$27:$V$56),0)</x:f>
        <x:v>0</x:v>
      </x:c>
      <x:c r="L102" s="2"/>
      <x:c r="M102" s="2"/>
      <x:c r="N102" s="2"/>
      <x:c r="O102" s="2"/>
      <x:c r="P102" s="2"/>
      <x:c r="Q102" s="2"/>
      <x:c r="R102" s="2"/>
      <x:c r="S102" s="2"/>
      <x:c r="T102" s="2"/>
      <x:c r="U102" s="2"/>
      <x:c r="V102" s="2"/>
      <x:c r="W102" s="2"/>
      <x:c r="X102" s="2"/>
      <x:c r="Y102" s="2"/>
      <x:c r="Z102" s="2"/>
      <x:c r="AA102" s="2"/>
      <x:c r="AB102" s="2"/>
      <x:c r="AC102" s="2"/>
      <x:c r="AD102" s="2"/>
      <x:c r="AE102" s="2"/>
    </x:row>
    <x:row r="103" ht="23" customHeight="1">
      <x:c r="C103" s="2"/>
      <x:c r="D103" s="2"/>
      <x:c r="E103" s="2"/>
      <x:c r="F103" s="2"/>
      <x:c r="G103" s="2" t="n">
        <x:v>7</x:v>
      </x:c>
      <x:c r="H103" s="72" t="n">
        <x:f>IF(AND('Inputs'!$E$56="On",SUM($X$26:$X$56)=1,$E$9&gt;0),IF(K102&gt;0,J102,H102),0)</x:f>
        <x:v>0</x:v>
      </x:c>
      <x:c r="I103" s="72" t="n">
        <x:f>IF(AND('Inputs'!$E$56="On",SUM($X$26:$X$56)=1,$E$9&gt;0),IF(K102&gt;0,I102,J102),0)</x:f>
        <x:v>0</x:v>
      </x:c>
      <x:c r="J103" s="61" t="n">
        <x:f>AVERAGE(H103:I103)</x:f>
        <x:v>0</x:v>
      </x:c>
      <x:c r="K103" s="73" t="n">
        <x:f>IF(AND('Inputs'!$E$56="On",SUM($X$26:$X$56)=1,$E$9&gt;0),$V$26+NPV(J103,$V$27:$V$56),0)</x:f>
        <x:v>0</x:v>
      </x:c>
      <x:c r="L103" s="2"/>
      <x:c r="M103" s="2"/>
      <x:c r="N103" s="2"/>
      <x:c r="O103" s="2"/>
      <x:c r="P103" s="2"/>
      <x:c r="Q103" s="2"/>
      <x:c r="R103" s="2"/>
      <x:c r="S103" s="2"/>
      <x:c r="T103" s="2"/>
      <x:c r="U103" s="2"/>
      <x:c r="V103" s="2"/>
      <x:c r="W103" s="2"/>
      <x:c r="X103" s="2"/>
      <x:c r="Y103" s="2"/>
      <x:c r="Z103" s="2"/>
      <x:c r="AA103" s="2"/>
      <x:c r="AB103" s="2"/>
      <x:c r="AC103" s="2"/>
      <x:c r="AD103" s="2"/>
      <x:c r="AE103" s="2"/>
    </x:row>
    <x:row r="104" ht="23" customHeight="1">
      <x:c r="C104" s="2"/>
      <x:c r="D104" s="2"/>
      <x:c r="E104" s="2"/>
      <x:c r="F104" s="2"/>
      <x:c r="G104" s="2" t="n">
        <x:v>8</x:v>
      </x:c>
      <x:c r="H104" s="72" t="n">
        <x:f>IF(AND('Inputs'!$E$56="On",SUM($X$26:$X$56)=1,$E$9&gt;0),IF(K103&gt;0,J103,H103),0)</x:f>
        <x:v>0</x:v>
      </x:c>
      <x:c r="I104" s="72" t="n">
        <x:f>IF(AND('Inputs'!$E$56="On",SUM($X$26:$X$56)=1,$E$9&gt;0),IF(K103&gt;0,I103,J103),0)</x:f>
        <x:v>0</x:v>
      </x:c>
      <x:c r="J104" s="61" t="n">
        <x:f>AVERAGE(H104:I104)</x:f>
        <x:v>0</x:v>
      </x:c>
      <x:c r="K104" s="73" t="n">
        <x:f>IF(AND('Inputs'!$E$56="On",SUM($X$26:$X$56)=1,$E$9&gt;0),$V$26+NPV(J104,$V$27:$V$56),0)</x:f>
        <x:v>0</x:v>
      </x:c>
      <x:c r="L104" s="2"/>
      <x:c r="M104" s="2"/>
      <x:c r="N104" s="2"/>
      <x:c r="O104" s="2"/>
      <x:c r="P104" s="2"/>
      <x:c r="Q104" s="2"/>
      <x:c r="R104" s="2"/>
      <x:c r="S104" s="2"/>
      <x:c r="T104" s="2"/>
      <x:c r="U104" s="2"/>
      <x:c r="V104" s="2"/>
      <x:c r="W104" s="2"/>
      <x:c r="X104" s="2"/>
      <x:c r="Y104" s="2"/>
      <x:c r="Z104" s="2"/>
      <x:c r="AA104" s="2"/>
      <x:c r="AB104" s="2"/>
      <x:c r="AC104" s="2"/>
      <x:c r="AD104" s="2"/>
      <x:c r="AE104" s="2"/>
    </x:row>
    <x:row r="105" ht="23" customHeight="1">
      <x:c r="C105" s="2"/>
      <x:c r="D105" s="2"/>
      <x:c r="E105" s="2"/>
      <x:c r="F105" s="2"/>
      <x:c r="G105" s="2" t="n">
        <x:v>9</x:v>
      </x:c>
      <x:c r="H105" s="72" t="n">
        <x:f>IF(AND('Inputs'!$E$56="On",SUM($X$26:$X$56)=1,$E$9&gt;0),IF(K104&gt;0,J104,H104),0)</x:f>
        <x:v>0</x:v>
      </x:c>
      <x:c r="I105" s="72" t="n">
        <x:f>IF(AND('Inputs'!$E$56="On",SUM($X$26:$X$56)=1,$E$9&gt;0),IF(K104&gt;0,I104,J104),0)</x:f>
        <x:v>0</x:v>
      </x:c>
      <x:c r="J105" s="61" t="n">
        <x:f>AVERAGE(H105:I105)</x:f>
        <x:v>0</x:v>
      </x:c>
      <x:c r="K105" s="73" t="n">
        <x:f>IF(AND('Inputs'!$E$56="On",SUM($X$26:$X$56)=1,$E$9&gt;0),$V$26+NPV(J105,$V$27:$V$56),0)</x:f>
        <x:v>0</x:v>
      </x:c>
      <x:c r="L105" s="2"/>
      <x:c r="M105" s="2"/>
      <x:c r="N105" s="2"/>
      <x:c r="O105" s="2"/>
      <x:c r="P105" s="2"/>
      <x:c r="Q105" s="2"/>
      <x:c r="R105" s="2"/>
      <x:c r="S105" s="2"/>
      <x:c r="T105" s="2"/>
      <x:c r="U105" s="2"/>
      <x:c r="V105" s="2"/>
      <x:c r="W105" s="2"/>
      <x:c r="X105" s="2"/>
      <x:c r="Y105" s="2"/>
      <x:c r="Z105" s="2"/>
      <x:c r="AA105" s="2"/>
      <x:c r="AB105" s="2"/>
      <x:c r="AC105" s="2"/>
      <x:c r="AD105" s="2"/>
      <x:c r="AE105" s="2"/>
    </x:row>
    <x:row r="106" ht="23" customHeight="1">
      <x:c r="C106" s="2"/>
      <x:c r="D106" s="2"/>
      <x:c r="E106" s="2"/>
      <x:c r="F106" s="2"/>
      <x:c r="G106" s="2" t="n">
        <x:v>10</x:v>
      </x:c>
      <x:c r="H106" s="72" t="n">
        <x:f>IF(AND('Inputs'!$E$56="On",SUM($X$26:$X$56)=1,$E$9&gt;0),IF(K105&gt;0,J105,H105),0)</x:f>
        <x:v>0</x:v>
      </x:c>
      <x:c r="I106" s="72" t="n">
        <x:f>IF(AND('Inputs'!$E$56="On",SUM($X$26:$X$56)=1,$E$9&gt;0),IF(K105&gt;0,I105,J105),0)</x:f>
        <x:v>0</x:v>
      </x:c>
      <x:c r="J106" s="61" t="n">
        <x:f>AVERAGE(H106:I106)</x:f>
        <x:v>0</x:v>
      </x:c>
      <x:c r="K106" s="73" t="n">
        <x:f>IF(AND('Inputs'!$E$56="On",SUM($X$26:$X$56)=1,$E$9&gt;0),$V$26+NPV(J106,$V$27:$V$56),0)</x:f>
        <x:v>0</x:v>
      </x:c>
      <x:c r="L106" s="2"/>
      <x:c r="M106" s="2"/>
      <x:c r="N106" s="2"/>
      <x:c r="O106" s="2"/>
      <x:c r="P106" s="2"/>
      <x:c r="Q106" s="2"/>
      <x:c r="R106" s="2"/>
      <x:c r="S106" s="2"/>
      <x:c r="T106" s="2"/>
      <x:c r="U106" s="2"/>
      <x:c r="V106" s="2"/>
      <x:c r="W106" s="2"/>
      <x:c r="X106" s="2"/>
      <x:c r="Y106" s="2"/>
      <x:c r="Z106" s="2"/>
      <x:c r="AA106" s="2"/>
      <x:c r="AB106" s="2"/>
      <x:c r="AC106" s="2"/>
      <x:c r="AD106" s="2"/>
      <x:c r="AE106" s="2"/>
    </x:row>
    <x:row r="107" ht="23" customHeight="1">
      <x:c r="C107" s="2"/>
      <x:c r="D107" s="2"/>
      <x:c r="E107" s="2"/>
      <x:c r="F107" s="2"/>
      <x:c r="G107" s="2" t="n">
        <x:v>11</x:v>
      </x:c>
      <x:c r="H107" s="72" t="n">
        <x:f>IF(AND('Inputs'!$E$56="On",SUM($X$26:$X$56)=1,$E$9&gt;0),IF(K106&gt;0,J106,H106),0)</x:f>
        <x:v>0</x:v>
      </x:c>
      <x:c r="I107" s="72" t="n">
        <x:f>IF(AND('Inputs'!$E$56="On",SUM($X$26:$X$56)=1,$E$9&gt;0),IF(K106&gt;0,I106,J106),0)</x:f>
        <x:v>0</x:v>
      </x:c>
      <x:c r="J107" s="61" t="n">
        <x:f>AVERAGE(H107:I107)</x:f>
        <x:v>0</x:v>
      </x:c>
      <x:c r="K107" s="73" t="n">
        <x:f>IF(AND('Inputs'!$E$56="On",SUM($X$26:$X$56)=1,$E$9&gt;0),$V$26+NPV(J107,$V$27:$V$56),0)</x:f>
        <x:v>0</x:v>
      </x:c>
      <x:c r="L107" s="2"/>
      <x:c r="M107" s="2"/>
      <x:c r="N107" s="2"/>
      <x:c r="O107" s="2"/>
      <x:c r="P107" s="2"/>
      <x:c r="Q107" s="2"/>
      <x:c r="R107" s="2"/>
      <x:c r="S107" s="2"/>
      <x:c r="T107" s="2"/>
      <x:c r="U107" s="2"/>
      <x:c r="V107" s="2"/>
      <x:c r="W107" s="2"/>
      <x:c r="X107" s="2"/>
      <x:c r="Y107" s="2"/>
      <x:c r="Z107" s="2"/>
      <x:c r="AA107" s="2"/>
      <x:c r="AB107" s="2"/>
      <x:c r="AC107" s="2"/>
      <x:c r="AD107" s="2"/>
      <x:c r="AE107" s="2"/>
    </x:row>
    <x:row r="108" ht="23" customHeight="1">
      <x:c r="C108" s="2"/>
      <x:c r="D108" s="2"/>
      <x:c r="E108" s="2"/>
      <x:c r="F108" s="2"/>
      <x:c r="G108" s="2" t="n">
        <x:v>12</x:v>
      </x:c>
      <x:c r="H108" s="72" t="n">
        <x:f>IF(AND('Inputs'!$E$56="On",SUM($X$26:$X$56)=1,$E$9&gt;0),IF(K107&gt;0,J107,H107),0)</x:f>
        <x:v>0</x:v>
      </x:c>
      <x:c r="I108" s="72" t="n">
        <x:f>IF(AND('Inputs'!$E$56="On",SUM($X$26:$X$56)=1,$E$9&gt;0),IF(K107&gt;0,I107,J107),0)</x:f>
        <x:v>0</x:v>
      </x:c>
      <x:c r="J108" s="61" t="n">
        <x:f>AVERAGE(H108:I108)</x:f>
        <x:v>0</x:v>
      </x:c>
      <x:c r="K108" s="73" t="n">
        <x:f>IF(AND('Inputs'!$E$56="On",SUM($X$26:$X$56)=1,$E$9&gt;0),$V$26+NPV(J108,$V$27:$V$56),0)</x:f>
        <x:v>0</x:v>
      </x:c>
      <x:c r="L108" s="2"/>
      <x:c r="M108" s="2"/>
      <x:c r="N108" s="2"/>
      <x:c r="O108" s="2"/>
      <x:c r="P108" s="2"/>
      <x:c r="Q108" s="2"/>
      <x:c r="R108" s="2"/>
      <x:c r="S108" s="2"/>
      <x:c r="T108" s="2"/>
      <x:c r="U108" s="2"/>
      <x:c r="V108" s="2"/>
      <x:c r="W108" s="2"/>
      <x:c r="X108" s="2"/>
      <x:c r="Y108" s="2"/>
      <x:c r="Z108" s="2"/>
      <x:c r="AA108" s="2"/>
      <x:c r="AB108" s="2"/>
      <x:c r="AC108" s="2"/>
      <x:c r="AD108" s="2"/>
      <x:c r="AE108" s="2"/>
    </x:row>
    <x:row r="109" ht="23" customHeight="1">
      <x:c r="C109" s="2"/>
      <x:c r="D109" s="2"/>
      <x:c r="E109" s="2"/>
      <x:c r="F109" s="2"/>
      <x:c r="G109" s="2" t="n">
        <x:v>13</x:v>
      </x:c>
      <x:c r="H109" s="72" t="n">
        <x:f>IF(AND('Inputs'!$E$56="On",SUM($X$26:$X$56)=1,$E$9&gt;0),IF(K108&gt;0,J108,H108),0)</x:f>
        <x:v>0</x:v>
      </x:c>
      <x:c r="I109" s="72" t="n">
        <x:f>IF(AND('Inputs'!$E$56="On",SUM($X$26:$X$56)=1,$E$9&gt;0),IF(K108&gt;0,I108,J108),0)</x:f>
        <x:v>0</x:v>
      </x:c>
      <x:c r="J109" s="61" t="n">
        <x:f>AVERAGE(H109:I109)</x:f>
        <x:v>0</x:v>
      </x:c>
      <x:c r="K109" s="73" t="n">
        <x:f>IF(AND('Inputs'!$E$56="On",SUM($X$26:$X$56)=1,$E$9&gt;0),$V$26+NPV(J109,$V$27:$V$56),0)</x:f>
        <x:v>0</x:v>
      </x:c>
      <x:c r="L109" s="2"/>
      <x:c r="M109" s="2"/>
      <x:c r="N109" s="2"/>
      <x:c r="O109" s="2"/>
      <x:c r="P109" s="2"/>
      <x:c r="Q109" s="2"/>
      <x:c r="R109" s="2"/>
      <x:c r="S109" s="2"/>
      <x:c r="T109" s="2"/>
      <x:c r="U109" s="2"/>
      <x:c r="V109" s="2"/>
      <x:c r="W109" s="2"/>
      <x:c r="X109" s="2"/>
      <x:c r="Y109" s="2"/>
      <x:c r="Z109" s="2"/>
      <x:c r="AA109" s="2"/>
      <x:c r="AB109" s="2"/>
      <x:c r="AC109" s="2"/>
      <x:c r="AD109" s="2"/>
      <x:c r="AE109" s="2"/>
    </x:row>
    <x:row r="110" ht="23" customHeight="1">
      <x:c r="C110" s="2"/>
      <x:c r="D110" s="2"/>
      <x:c r="E110" s="2"/>
      <x:c r="F110" s="2"/>
      <x:c r="G110" s="2" t="n">
        <x:v>14</x:v>
      </x:c>
      <x:c r="H110" s="72" t="n">
        <x:f>IF(AND('Inputs'!$E$56="On",SUM($X$26:$X$56)=1,$E$9&gt;0),IF(K109&gt;0,J109,H109),0)</x:f>
        <x:v>0</x:v>
      </x:c>
      <x:c r="I110" s="72" t="n">
        <x:f>IF(AND('Inputs'!$E$56="On",SUM($X$26:$X$56)=1,$E$9&gt;0),IF(K109&gt;0,I109,J109),0)</x:f>
        <x:v>0</x:v>
      </x:c>
      <x:c r="J110" s="61" t="n">
        <x:f>AVERAGE(H110:I110)</x:f>
        <x:v>0</x:v>
      </x:c>
      <x:c r="K110" s="73" t="n">
        <x:f>IF(AND('Inputs'!$E$56="On",SUM($X$26:$X$56)=1,$E$9&gt;0),$V$26+NPV(J110,$V$27:$V$56),0)</x:f>
        <x:v>0</x:v>
      </x:c>
      <x:c r="L110" s="2"/>
      <x:c r="M110" s="2"/>
      <x:c r="N110" s="2"/>
      <x:c r="O110" s="2"/>
      <x:c r="P110" s="2"/>
      <x:c r="Q110" s="2"/>
      <x:c r="R110" s="2"/>
      <x:c r="S110" s="2"/>
      <x:c r="T110" s="2"/>
      <x:c r="U110" s="2"/>
      <x:c r="V110" s="2"/>
      <x:c r="W110" s="2"/>
      <x:c r="X110" s="2"/>
      <x:c r="Y110" s="2"/>
      <x:c r="Z110" s="2"/>
      <x:c r="AA110" s="2"/>
      <x:c r="AB110" s="2"/>
      <x:c r="AC110" s="2"/>
      <x:c r="AD110" s="2"/>
      <x:c r="AE110" s="2"/>
    </x:row>
    <x:row r="111" ht="23" customHeight="1">
      <x:c r="C111" s="2"/>
      <x:c r="D111" s="2"/>
      <x:c r="E111" s="2"/>
      <x:c r="F111" s="2"/>
      <x:c r="G111" s="2" t="n">
        <x:v>15</x:v>
      </x:c>
      <x:c r="H111" s="72" t="n">
        <x:f>IF(AND('Inputs'!$E$56="On",SUM($X$26:$X$56)=1,$E$9&gt;0),IF(K110&gt;0,J110,H110),0)</x:f>
        <x:v>0</x:v>
      </x:c>
      <x:c r="I111" s="72" t="n">
        <x:f>IF(AND('Inputs'!$E$56="On",SUM($X$26:$X$56)=1,$E$9&gt;0),IF(K110&gt;0,I110,J110),0)</x:f>
        <x:v>0</x:v>
      </x:c>
      <x:c r="J111" s="61" t="n">
        <x:f>AVERAGE(H111:I111)</x:f>
        <x:v>0</x:v>
      </x:c>
      <x:c r="K111" s="73" t="n">
        <x:f>IF(AND('Inputs'!$E$56="On",SUM($X$26:$X$56)=1,$E$9&gt;0),$V$26+NPV(J111,$V$27:$V$56),0)</x:f>
        <x:v>0</x:v>
      </x:c>
      <x:c r="L111" s="2"/>
      <x:c r="M111" s="2"/>
      <x:c r="N111" s="2"/>
      <x:c r="O111" s="2"/>
      <x:c r="P111" s="2"/>
      <x:c r="Q111" s="2"/>
      <x:c r="R111" s="2"/>
      <x:c r="S111" s="2"/>
      <x:c r="T111" s="2"/>
      <x:c r="U111" s="2"/>
      <x:c r="V111" s="2"/>
      <x:c r="W111" s="2"/>
      <x:c r="X111" s="2"/>
      <x:c r="Y111" s="2"/>
      <x:c r="Z111" s="2"/>
      <x:c r="AA111" s="2"/>
      <x:c r="AB111" s="2"/>
      <x:c r="AC111" s="2"/>
      <x:c r="AD111" s="2"/>
      <x:c r="AE111" s="2"/>
    </x:row>
    <x:row r="112" ht="23" customHeight="1">
      <x:c r="C112" s="2"/>
      <x:c r="D112" s="2"/>
      <x:c r="E112" s="2"/>
      <x:c r="F112" s="2"/>
      <x:c r="G112" s="2" t="n">
        <x:v>16</x:v>
      </x:c>
      <x:c r="H112" s="72" t="n">
        <x:f>IF(AND('Inputs'!$E$56="On",SUM($X$26:$X$56)=1,$E$9&gt;0),IF(K111&gt;0,J111,H111),0)</x:f>
        <x:v>0</x:v>
      </x:c>
      <x:c r="I112" s="72" t="n">
        <x:f>IF(AND('Inputs'!$E$56="On",SUM($X$26:$X$56)=1,$E$9&gt;0),IF(K111&gt;0,I111,J111),0)</x:f>
        <x:v>0</x:v>
      </x:c>
      <x:c r="J112" s="61" t="n">
        <x:f>AVERAGE(H112:I112)</x:f>
        <x:v>0</x:v>
      </x:c>
      <x:c r="K112" s="73" t="n">
        <x:f>IF(AND('Inputs'!$E$56="On",SUM($X$26:$X$56)=1,$E$9&gt;0),$V$26+NPV(J112,$V$27:$V$56),0)</x:f>
        <x:v>0</x:v>
      </x:c>
      <x:c r="L112" s="2"/>
      <x:c r="M112" s="2"/>
      <x:c r="N112" s="2"/>
      <x:c r="O112" s="2"/>
      <x:c r="P112" s="2"/>
      <x:c r="Q112" s="2"/>
      <x:c r="R112" s="2"/>
      <x:c r="S112" s="2"/>
      <x:c r="T112" s="2"/>
      <x:c r="U112" s="2"/>
      <x:c r="V112" s="2"/>
      <x:c r="W112" s="2"/>
      <x:c r="X112" s="2"/>
      <x:c r="Y112" s="2"/>
      <x:c r="Z112" s="2"/>
      <x:c r="AA112" s="2"/>
      <x:c r="AB112" s="2"/>
      <x:c r="AC112" s="2"/>
      <x:c r="AD112" s="2"/>
      <x:c r="AE112" s="2"/>
    </x:row>
    <x:row r="113" ht="23" customHeight="1">
      <x:c r="C113" s="2"/>
      <x:c r="D113" s="2"/>
      <x:c r="E113" s="2"/>
      <x:c r="F113" s="2"/>
      <x:c r="G113" s="2" t="n">
        <x:v>17</x:v>
      </x:c>
      <x:c r="H113" s="72" t="n">
        <x:f>IF(AND('Inputs'!$E$56="On",SUM($X$26:$X$56)=1,$E$9&gt;0),IF(K112&gt;0,J112,H112),0)</x:f>
        <x:v>0</x:v>
      </x:c>
      <x:c r="I113" s="72" t="n">
        <x:f>IF(AND('Inputs'!$E$56="On",SUM($X$26:$X$56)=1,$E$9&gt;0),IF(K112&gt;0,I112,J112),0)</x:f>
        <x:v>0</x:v>
      </x:c>
      <x:c r="J113" s="61" t="n">
        <x:f>AVERAGE(H113:I113)</x:f>
        <x:v>0</x:v>
      </x:c>
      <x:c r="K113" s="73" t="n">
        <x:f>IF(AND('Inputs'!$E$56="On",SUM($X$26:$X$56)=1,$E$9&gt;0),$V$26+NPV(J113,$V$27:$V$56),0)</x:f>
        <x:v>0</x:v>
      </x:c>
      <x:c r="L113" s="2"/>
      <x:c r="M113" s="2"/>
      <x:c r="N113" s="2"/>
      <x:c r="O113" s="2"/>
      <x:c r="P113" s="2"/>
      <x:c r="Q113" s="2"/>
      <x:c r="R113" s="2"/>
      <x:c r="S113" s="2"/>
      <x:c r="T113" s="2"/>
      <x:c r="U113" s="2"/>
      <x:c r="V113" s="2"/>
      <x:c r="W113" s="2"/>
      <x:c r="X113" s="2"/>
      <x:c r="Y113" s="2"/>
      <x:c r="Z113" s="2"/>
      <x:c r="AA113" s="2"/>
      <x:c r="AB113" s="2"/>
      <x:c r="AC113" s="2"/>
      <x:c r="AD113" s="2"/>
      <x:c r="AE113" s="2"/>
    </x:row>
    <x:row r="114" ht="23" customHeight="1">
      <x:c r="C114" s="2"/>
      <x:c r="D114" s="2"/>
      <x:c r="E114" s="2"/>
      <x:c r="F114" s="2"/>
      <x:c r="G114" s="2" t="n">
        <x:v>18</x:v>
      </x:c>
      <x:c r="H114" s="72" t="n">
        <x:f>IF(AND('Inputs'!$E$56="On",SUM($X$26:$X$56)=1,$E$9&gt;0),IF(K113&gt;0,J113,H113),0)</x:f>
        <x:v>0</x:v>
      </x:c>
      <x:c r="I114" s="72" t="n">
        <x:f>IF(AND('Inputs'!$E$56="On",SUM($X$26:$X$56)=1,$E$9&gt;0),IF(K113&gt;0,I113,J113),0)</x:f>
        <x:v>0</x:v>
      </x:c>
      <x:c r="J114" s="61" t="n">
        <x:f>AVERAGE(H114:I114)</x:f>
        <x:v>0</x:v>
      </x:c>
      <x:c r="K114" s="73" t="n">
        <x:f>IF(AND('Inputs'!$E$56="On",SUM($X$26:$X$56)=1,$E$9&gt;0),$V$26+NPV(J114,$V$27:$V$56),0)</x:f>
        <x:v>0</x:v>
      </x:c>
      <x:c r="L114" s="2"/>
      <x:c r="M114" s="2"/>
      <x:c r="N114" s="2"/>
      <x:c r="O114" s="2"/>
      <x:c r="P114" s="2"/>
      <x:c r="Q114" s="2"/>
      <x:c r="R114" s="2"/>
      <x:c r="S114" s="2"/>
      <x:c r="T114" s="2"/>
      <x:c r="U114" s="2"/>
      <x:c r="V114" s="2"/>
      <x:c r="W114" s="2"/>
      <x:c r="X114" s="2"/>
      <x:c r="Y114" s="2"/>
      <x:c r="Z114" s="2"/>
      <x:c r="AA114" s="2"/>
      <x:c r="AB114" s="2"/>
      <x:c r="AC114" s="2"/>
      <x:c r="AD114" s="2"/>
      <x:c r="AE114" s="2"/>
    </x:row>
    <x:row r="115" ht="23" customHeight="1">
      <x:c r="C115" s="2"/>
      <x:c r="D115" s="2"/>
      <x:c r="E115" s="2"/>
      <x:c r="F115" s="2"/>
      <x:c r="G115" s="2" t="n">
        <x:v>19</x:v>
      </x:c>
      <x:c r="H115" s="72" t="n">
        <x:f>IF(AND('Inputs'!$E$56="On",SUM($X$26:$X$56)=1,$E$9&gt;0),IF(K114&gt;0,J114,H114),0)</x:f>
        <x:v>0</x:v>
      </x:c>
      <x:c r="I115" s="72" t="n">
        <x:f>IF(AND('Inputs'!$E$56="On",SUM($X$26:$X$56)=1,$E$9&gt;0),IF(K114&gt;0,I114,J114),0)</x:f>
        <x:v>0</x:v>
      </x:c>
      <x:c r="J115" s="61" t="n">
        <x:f>AVERAGE(H115:I115)</x:f>
        <x:v>0</x:v>
      </x:c>
      <x:c r="K115" s="73" t="n">
        <x:f>IF(AND('Inputs'!$E$56="On",SUM($X$26:$X$56)=1,$E$9&gt;0),$V$26+NPV(J115,$V$27:$V$56),0)</x:f>
        <x:v>0</x:v>
      </x:c>
      <x:c r="L115" s="2"/>
      <x:c r="M115" s="2"/>
      <x:c r="N115" s="2"/>
      <x:c r="O115" s="2"/>
      <x:c r="P115" s="2"/>
      <x:c r="Q115" s="2"/>
      <x:c r="R115" s="2"/>
      <x:c r="S115" s="2"/>
      <x:c r="T115" s="2"/>
      <x:c r="U115" s="2"/>
      <x:c r="V115" s="2"/>
      <x:c r="W115" s="2"/>
      <x:c r="X115" s="2"/>
      <x:c r="Y115" s="2"/>
      <x:c r="Z115" s="2"/>
      <x:c r="AA115" s="2"/>
      <x:c r="AB115" s="2"/>
      <x:c r="AC115" s="2"/>
      <x:c r="AD115" s="2"/>
      <x:c r="AE115" s="2"/>
    </x:row>
    <x:row r="116" ht="23" customHeight="1">
      <x:c r="C116" s="2"/>
      <x:c r="D116" s="2"/>
      <x:c r="E116" s="2"/>
      <x:c r="F116" s="2"/>
      <x:c r="G116" s="2" t="n">
        <x:v>20</x:v>
      </x:c>
      <x:c r="H116" s="72" t="n">
        <x:f>IF(AND('Inputs'!$E$56="On",SUM($X$26:$X$56)=1,$E$9&gt;0),IF(K115&gt;0,J115,H115),0)</x:f>
        <x:v>0</x:v>
      </x:c>
      <x:c r="I116" s="72" t="n">
        <x:f>IF(AND('Inputs'!$E$56="On",SUM($X$26:$X$56)=1,$E$9&gt;0),IF(K115&gt;0,I115,J115),0)</x:f>
        <x:v>0</x:v>
      </x:c>
      <x:c r="J116" s="61" t="n">
        <x:f>AVERAGE(H116:I116)</x:f>
        <x:v>0</x:v>
      </x:c>
      <x:c r="K116" s="73" t="n">
        <x:f>IF(AND('Inputs'!$E$56="On",SUM($X$26:$X$56)=1,$E$9&gt;0),$V$26+NPV(J116,$V$27:$V$56),0)</x:f>
        <x:v>0</x:v>
      </x:c>
      <x:c r="L116" s="2"/>
      <x:c r="M116" s="2"/>
      <x:c r="N116" s="2"/>
      <x:c r="O116" s="2"/>
      <x:c r="P116" s="2"/>
      <x:c r="Q116" s="2"/>
      <x:c r="R116" s="2"/>
      <x:c r="S116" s="2"/>
      <x:c r="T116" s="2"/>
      <x:c r="U116" s="2"/>
      <x:c r="V116" s="2"/>
      <x:c r="W116" s="2"/>
      <x:c r="X116" s="2"/>
      <x:c r="Y116" s="2"/>
      <x:c r="Z116" s="2"/>
      <x:c r="AA116" s="2"/>
      <x:c r="AB116" s="2"/>
      <x:c r="AC116" s="2"/>
      <x:c r="AD116" s="2"/>
      <x:c r="AE116" s="2"/>
    </x:row>
    <x:row r="117" ht="23" customHeight="1">
      <x:c r="C117" s="2"/>
      <x:c r="D117" s="2"/>
      <x:c r="E117" s="2"/>
      <x:c r="F117" s="2"/>
      <x:c r="G117" s="2" t="n">
        <x:v>21</x:v>
      </x:c>
      <x:c r="H117" s="72" t="n">
        <x:f>IF(AND('Inputs'!$E$56="On",SUM($X$26:$X$56)=1,$E$9&gt;0),IF(K116&gt;0,J116,H116),0)</x:f>
        <x:v>0</x:v>
      </x:c>
      <x:c r="I117" s="72" t="n">
        <x:f>IF(AND('Inputs'!$E$56="On",SUM($X$26:$X$56)=1,$E$9&gt;0),IF(K116&gt;0,I116,J116),0)</x:f>
        <x:v>0</x:v>
      </x:c>
      <x:c r="J117" s="61" t="n">
        <x:f>AVERAGE(H117:I117)</x:f>
        <x:v>0</x:v>
      </x:c>
      <x:c r="K117" s="73" t="n">
        <x:f>IF(AND('Inputs'!$E$56="On",SUM($X$26:$X$56)=1,$E$9&gt;0),$V$26+NPV(J117,$V$27:$V$56),0)</x:f>
        <x:v>0</x:v>
      </x:c>
      <x:c r="L117" s="2"/>
      <x:c r="M117" s="2"/>
      <x:c r="N117" s="2"/>
      <x:c r="O117" s="2"/>
      <x:c r="P117" s="2"/>
      <x:c r="Q117" s="2"/>
      <x:c r="R117" s="2"/>
      <x:c r="S117" s="2"/>
      <x:c r="T117" s="2"/>
      <x:c r="U117" s="2"/>
      <x:c r="V117" s="2"/>
      <x:c r="W117" s="2"/>
      <x:c r="X117" s="2"/>
      <x:c r="Y117" s="2"/>
      <x:c r="Z117" s="2"/>
      <x:c r="AA117" s="2"/>
      <x:c r="AB117" s="2"/>
      <x:c r="AC117" s="2"/>
      <x:c r="AD117" s="2"/>
      <x:c r="AE117" s="2"/>
    </x:row>
    <x:row r="118" ht="23" customHeight="1">
      <x:c r="C118" s="2"/>
      <x:c r="D118" s="2"/>
      <x:c r="E118" s="2"/>
      <x:c r="F118" s="2"/>
      <x:c r="G118" s="2" t="n">
        <x:v>22</x:v>
      </x:c>
      <x:c r="H118" s="72" t="n">
        <x:f>IF(AND('Inputs'!$E$56="On",SUM($X$26:$X$56)=1,$E$9&gt;0),IF(K117&gt;0,J117,H117),0)</x:f>
        <x:v>0</x:v>
      </x:c>
      <x:c r="I118" s="72" t="n">
        <x:f>IF(AND('Inputs'!$E$56="On",SUM($X$26:$X$56)=1,$E$9&gt;0),IF(K117&gt;0,I117,J117),0)</x:f>
        <x:v>0</x:v>
      </x:c>
      <x:c r="J118" s="61" t="n">
        <x:f>AVERAGE(H118:I118)</x:f>
        <x:v>0</x:v>
      </x:c>
      <x:c r="K118" s="73" t="n">
        <x:f>IF(AND('Inputs'!$E$56="On",SUM($X$26:$X$56)=1,$E$9&gt;0),$V$26+NPV(J118,$V$27:$V$56),0)</x:f>
        <x:v>0</x:v>
      </x:c>
      <x:c r="L118" s="2"/>
      <x:c r="M118" s="2"/>
      <x:c r="N118" s="2"/>
      <x:c r="O118" s="2"/>
      <x:c r="P118" s="2"/>
      <x:c r="Q118" s="2"/>
      <x:c r="R118" s="2"/>
      <x:c r="S118" s="2"/>
      <x:c r="T118" s="2"/>
      <x:c r="U118" s="2"/>
      <x:c r="V118" s="2"/>
      <x:c r="W118" s="2"/>
      <x:c r="X118" s="2"/>
      <x:c r="Y118" s="2"/>
      <x:c r="Z118" s="2"/>
      <x:c r="AA118" s="2"/>
      <x:c r="AB118" s="2"/>
      <x:c r="AC118" s="2"/>
      <x:c r="AD118" s="2"/>
      <x:c r="AE118" s="2"/>
    </x:row>
    <x:row r="119" ht="23" customHeight="1">
      <x:c r="C119" s="2"/>
      <x:c r="D119" s="2"/>
      <x:c r="E119" s="2"/>
      <x:c r="F119" s="2"/>
      <x:c r="G119" s="2" t="n">
        <x:v>23</x:v>
      </x:c>
      <x:c r="H119" s="72" t="n">
        <x:f>IF(AND('Inputs'!$E$56="On",SUM($X$26:$X$56)=1,$E$9&gt;0),IF(K118&gt;0,J118,H118),0)</x:f>
        <x:v>0</x:v>
      </x:c>
      <x:c r="I119" s="72" t="n">
        <x:f>IF(AND('Inputs'!$E$56="On",SUM($X$26:$X$56)=1,$E$9&gt;0),IF(K118&gt;0,I118,J118),0)</x:f>
        <x:v>0</x:v>
      </x:c>
      <x:c r="J119" s="61" t="n">
        <x:f>AVERAGE(H119:I119)</x:f>
        <x:v>0</x:v>
      </x:c>
      <x:c r="K119" s="73" t="n">
        <x:f>IF(AND('Inputs'!$E$56="On",SUM($X$26:$X$56)=1,$E$9&gt;0),$V$26+NPV(J119,$V$27:$V$56),0)</x:f>
        <x:v>0</x:v>
      </x:c>
      <x:c r="L119" s="2"/>
      <x:c r="M119" s="2"/>
      <x:c r="N119" s="2"/>
      <x:c r="O119" s="2"/>
      <x:c r="P119" s="2"/>
      <x:c r="Q119" s="2"/>
      <x:c r="R119" s="2"/>
      <x:c r="S119" s="2"/>
      <x:c r="T119" s="2"/>
      <x:c r="U119" s="2"/>
      <x:c r="V119" s="2"/>
      <x:c r="W119" s="2"/>
      <x:c r="X119" s="2"/>
      <x:c r="Y119" s="2"/>
      <x:c r="Z119" s="2"/>
      <x:c r="AA119" s="2"/>
      <x:c r="AB119" s="2"/>
      <x:c r="AC119" s="2"/>
      <x:c r="AD119" s="2"/>
      <x:c r="AE119" s="2"/>
    </x:row>
    <x:row r="120" ht="23" customHeight="1">
      <x:c r="C120" s="2"/>
      <x:c r="D120" s="2"/>
      <x:c r="E120" s="2"/>
      <x:c r="F120" s="2"/>
      <x:c r="G120" s="2" t="n">
        <x:v>24</x:v>
      </x:c>
      <x:c r="H120" s="72" t="n">
        <x:f>IF(AND('Inputs'!$E$56="On",SUM($X$26:$X$56)=1,$E$9&gt;0),IF(K119&gt;0,J119,H119),0)</x:f>
        <x:v>0</x:v>
      </x:c>
      <x:c r="I120" s="72" t="n">
        <x:f>IF(AND('Inputs'!$E$56="On",SUM($X$26:$X$56)=1,$E$9&gt;0),IF(K119&gt;0,I119,J119),0)</x:f>
        <x:v>0</x:v>
      </x:c>
      <x:c r="J120" s="61" t="n">
        <x:f>AVERAGE(H120:I120)</x:f>
        <x:v>0</x:v>
      </x:c>
      <x:c r="K120" s="73" t="n">
        <x:f>IF(AND('Inputs'!$E$56="On",SUM($X$26:$X$56)=1,$E$9&gt;0),$V$26+NPV(J120,$V$27:$V$56),0)</x:f>
        <x:v>0</x:v>
      </x:c>
      <x:c r="L120" s="2"/>
      <x:c r="M120" s="2"/>
      <x:c r="N120" s="2"/>
      <x:c r="O120" s="2"/>
      <x:c r="P120" s="2"/>
      <x:c r="Q120" s="2"/>
      <x:c r="R120" s="2"/>
      <x:c r="S120" s="2"/>
      <x:c r="T120" s="2"/>
      <x:c r="U120" s="2"/>
      <x:c r="V120" s="2"/>
      <x:c r="W120" s="2"/>
      <x:c r="X120" s="2"/>
      <x:c r="Y120" s="2"/>
      <x:c r="Z120" s="2"/>
      <x:c r="AA120" s="2"/>
      <x:c r="AB120" s="2"/>
      <x:c r="AC120" s="2"/>
      <x:c r="AD120" s="2"/>
      <x:c r="AE120" s="2"/>
    </x:row>
    <x:row r="121" ht="23" customHeight="1">
      <x:c r="C121" s="2"/>
      <x:c r="D121" s="2"/>
      <x:c r="E121" s="2"/>
      <x:c r="F121" s="2"/>
      <x:c r="G121" s="2" t="n">
        <x:v>25</x:v>
      </x:c>
      <x:c r="H121" s="72" t="n">
        <x:f>IF(AND('Inputs'!$E$56="On",SUM($X$26:$X$56)=1,$E$9&gt;0),IF(K120&gt;0,J120,H120),0)</x:f>
        <x:v>0</x:v>
      </x:c>
      <x:c r="I121" s="72" t="n">
        <x:f>IF(AND('Inputs'!$E$56="On",SUM($X$26:$X$56)=1,$E$9&gt;0),IF(K120&gt;0,I120,J120),0)</x:f>
        <x:v>0</x:v>
      </x:c>
      <x:c r="J121" s="61" t="n">
        <x:f>AVERAGE(H121:I121)</x:f>
        <x:v>0</x:v>
      </x:c>
      <x:c r="K121" s="73" t="n">
        <x:f>IF(AND('Inputs'!$E$56="On",SUM($X$26:$X$56)=1,$E$9&gt;0),$V$26+NPV(J121,$V$27:$V$56),0)</x:f>
        <x:v>0</x:v>
      </x:c>
      <x:c r="L121" s="2"/>
      <x:c r="M121" s="2"/>
      <x:c r="N121" s="2"/>
      <x:c r="O121" s="2"/>
      <x:c r="P121" s="2"/>
      <x:c r="Q121" s="2"/>
      <x:c r="R121" s="2"/>
      <x:c r="S121" s="2"/>
      <x:c r="T121" s="2"/>
      <x:c r="U121" s="2"/>
      <x:c r="V121" s="2"/>
      <x:c r="W121" s="2"/>
      <x:c r="X121" s="2"/>
      <x:c r="Y121" s="2"/>
      <x:c r="Z121" s="2"/>
      <x:c r="AA121" s="2"/>
      <x:c r="AB121" s="2"/>
      <x:c r="AC121" s="2"/>
      <x:c r="AD121" s="2"/>
      <x:c r="AE121" s="2"/>
    </x:row>
    <x:row r="122" ht="23" customHeight="1">
      <x:c r="C122" s="2"/>
      <x:c r="D122" s="2"/>
      <x:c r="E122" s="2"/>
      <x:c r="F122" s="2"/>
      <x:c r="G122" s="2" t="n">
        <x:v>26</x:v>
      </x:c>
      <x:c r="H122" s="72" t="n">
        <x:f>IF(AND('Inputs'!$E$56="On",SUM($X$26:$X$56)=1,$E$9&gt;0),IF(K121&gt;0,J121,H121),0)</x:f>
        <x:v>0</x:v>
      </x:c>
      <x:c r="I122" s="72" t="n">
        <x:f>IF(AND('Inputs'!$E$56="On",SUM($X$26:$X$56)=1,$E$9&gt;0),IF(K121&gt;0,I121,J121),0)</x:f>
        <x:v>0</x:v>
      </x:c>
      <x:c r="J122" s="61" t="n">
        <x:f>AVERAGE(H122:I122)</x:f>
        <x:v>0</x:v>
      </x:c>
      <x:c r="K122" s="73" t="n">
        <x:f>IF(AND('Inputs'!$E$56="On",SUM($X$26:$X$56)=1,$E$9&gt;0),$V$26+NPV(J122,$V$27:$V$56),0)</x:f>
        <x:v>0</x:v>
      </x:c>
      <x:c r="L122" s="2"/>
      <x:c r="M122" s="2"/>
      <x:c r="N122" s="2"/>
      <x:c r="O122" s="2"/>
      <x:c r="P122" s="2"/>
      <x:c r="Q122" s="2"/>
      <x:c r="R122" s="2"/>
      <x:c r="S122" s="2"/>
      <x:c r="T122" s="2"/>
      <x:c r="U122" s="2"/>
      <x:c r="V122" s="2"/>
      <x:c r="W122" s="2"/>
      <x:c r="X122" s="2"/>
      <x:c r="Y122" s="2"/>
      <x:c r="Z122" s="2"/>
      <x:c r="AA122" s="2"/>
      <x:c r="AB122" s="2"/>
      <x:c r="AC122" s="2"/>
      <x:c r="AD122" s="2"/>
      <x:c r="AE122" s="2"/>
    </x:row>
    <x:row r="123" ht="23" customHeight="1">
      <x:c r="C123" s="2"/>
      <x:c r="D123" s="2"/>
      <x:c r="E123" s="2"/>
      <x:c r="F123" s="2"/>
      <x:c r="G123" s="2" t="n">
        <x:v>27</x:v>
      </x:c>
      <x:c r="H123" s="72" t="n">
        <x:f>IF(AND('Inputs'!$E$56="On",SUM($X$26:$X$56)=1,$E$9&gt;0),IF(K122&gt;0,J122,H122),0)</x:f>
        <x:v>0</x:v>
      </x:c>
      <x:c r="I123" s="72" t="n">
        <x:f>IF(AND('Inputs'!$E$56="On",SUM($X$26:$X$56)=1,$E$9&gt;0),IF(K122&gt;0,I122,J122),0)</x:f>
        <x:v>0</x:v>
      </x:c>
      <x:c r="J123" s="61" t="n">
        <x:f>AVERAGE(H123:I123)</x:f>
        <x:v>0</x:v>
      </x:c>
      <x:c r="K123" s="73" t="n">
        <x:f>IF(AND('Inputs'!$E$56="On",SUM($X$26:$X$56)=1,$E$9&gt;0),$V$26+NPV(J123,$V$27:$V$56),0)</x:f>
        <x:v>0</x:v>
      </x:c>
      <x:c r="L123" s="2"/>
      <x:c r="M123" s="2"/>
      <x:c r="N123" s="2"/>
      <x:c r="O123" s="2"/>
      <x:c r="P123" s="2"/>
      <x:c r="Q123" s="2"/>
      <x:c r="R123" s="2"/>
      <x:c r="S123" s="2"/>
      <x:c r="T123" s="2"/>
      <x:c r="U123" s="2"/>
      <x:c r="V123" s="2"/>
      <x:c r="W123" s="2"/>
      <x:c r="X123" s="2"/>
      <x:c r="Y123" s="2"/>
      <x:c r="Z123" s="2"/>
      <x:c r="AA123" s="2"/>
      <x:c r="AB123" s="2"/>
      <x:c r="AC123" s="2"/>
      <x:c r="AD123" s="2"/>
      <x:c r="AE123" s="2"/>
    </x:row>
    <x:row r="124" ht="23" customHeight="1">
      <x:c r="C124" s="2"/>
      <x:c r="D124" s="2"/>
      <x:c r="E124" s="2"/>
      <x:c r="F124" s="2"/>
      <x:c r="G124" s="2" t="n">
        <x:v>28</x:v>
      </x:c>
      <x:c r="H124" s="72" t="n">
        <x:f>IF(AND('Inputs'!$E$56="On",SUM($X$26:$X$56)=1,$E$9&gt;0),IF(K123&gt;0,J123,H123),0)</x:f>
        <x:v>0</x:v>
      </x:c>
      <x:c r="I124" s="72" t="n">
        <x:f>IF(AND('Inputs'!$E$56="On",SUM($X$26:$X$56)=1,$E$9&gt;0),IF(K123&gt;0,I123,J123),0)</x:f>
        <x:v>0</x:v>
      </x:c>
      <x:c r="J124" s="61" t="n">
        <x:f>AVERAGE(H124:I124)</x:f>
        <x:v>0</x:v>
      </x:c>
      <x:c r="K124" s="73" t="n">
        <x:f>IF(AND('Inputs'!$E$56="On",SUM($X$26:$X$56)=1,$E$9&gt;0),$V$26+NPV(J124,$V$27:$V$56),0)</x:f>
        <x:v>0</x:v>
      </x:c>
      <x:c r="L124" s="2"/>
      <x:c r="M124" s="2"/>
      <x:c r="N124" s="2"/>
      <x:c r="O124" s="2"/>
      <x:c r="P124" s="2"/>
      <x:c r="Q124" s="2"/>
      <x:c r="R124" s="2"/>
      <x:c r="S124" s="2"/>
      <x:c r="T124" s="2"/>
      <x:c r="U124" s="2"/>
      <x:c r="V124" s="2"/>
      <x:c r="W124" s="2"/>
      <x:c r="X124" s="2"/>
      <x:c r="Y124" s="2"/>
      <x:c r="Z124" s="2"/>
      <x:c r="AA124" s="2"/>
      <x:c r="AB124" s="2"/>
      <x:c r="AC124" s="2"/>
      <x:c r="AD124" s="2"/>
      <x:c r="AE124" s="2"/>
    </x:row>
    <x:row r="125" ht="23" customHeight="1">
      <x:c r="C125" s="2"/>
      <x:c r="D125" s="2"/>
      <x:c r="E125" s="2"/>
      <x:c r="F125" s="2"/>
      <x:c r="G125" s="2" t="n">
        <x:v>29</x:v>
      </x:c>
      <x:c r="H125" s="72" t="n">
        <x:f>IF(AND('Inputs'!$E$56="On",SUM($X$26:$X$56)=1,$E$9&gt;0),IF(K124&gt;0,J124,H124),0)</x:f>
        <x:v>0</x:v>
      </x:c>
      <x:c r="I125" s="72" t="n">
        <x:f>IF(AND('Inputs'!$E$56="On",SUM($X$26:$X$56)=1,$E$9&gt;0),IF(K124&gt;0,I124,J124),0)</x:f>
        <x:v>0</x:v>
      </x:c>
      <x:c r="J125" s="61" t="n">
        <x:f>AVERAGE(H125:I125)</x:f>
        <x:v>0</x:v>
      </x:c>
      <x:c r="K125" s="73" t="n">
        <x:f>IF(AND('Inputs'!$E$56="On",SUM($X$26:$X$56)=1,$E$9&gt;0),$V$26+NPV(J125,$V$27:$V$56),0)</x:f>
        <x:v>0</x:v>
      </x:c>
      <x:c r="L125" s="2"/>
      <x:c r="M125" s="2"/>
      <x:c r="N125" s="2"/>
      <x:c r="O125" s="2"/>
      <x:c r="P125" s="2"/>
      <x:c r="Q125" s="2"/>
      <x:c r="R125" s="2"/>
      <x:c r="S125" s="2"/>
      <x:c r="T125" s="2"/>
      <x:c r="U125" s="2"/>
      <x:c r="V125" s="2"/>
      <x:c r="W125" s="2"/>
      <x:c r="X125" s="2"/>
      <x:c r="Y125" s="2"/>
      <x:c r="Z125" s="2"/>
      <x:c r="AA125" s="2"/>
      <x:c r="AB125" s="2"/>
      <x:c r="AC125" s="2"/>
      <x:c r="AD125" s="2"/>
      <x:c r="AE125" s="2"/>
    </x:row>
    <x:row r="126" ht="23" customHeight="1">
      <x:c r="C126" s="2"/>
      <x:c r="D126" s="2"/>
      <x:c r="E126" s="2"/>
      <x:c r="F126" s="2"/>
      <x:c r="G126" s="2" t="n">
        <x:v>30</x:v>
      </x:c>
      <x:c r="H126" s="72" t="n">
        <x:f>IF(AND('Inputs'!$E$56="On",SUM($X$26:$X$56)=1,$E$9&gt;0),IF(K125&gt;0,J125,H125),0)</x:f>
        <x:v>0</x:v>
      </x:c>
      <x:c r="I126" s="72" t="n">
        <x:f>IF(AND('Inputs'!$E$56="On",SUM($X$26:$X$56)=1,$E$9&gt;0),IF(K125&gt;0,I125,J125),0)</x:f>
        <x:v>0</x:v>
      </x:c>
      <x:c r="J126" s="61" t="n">
        <x:f>AVERAGE(H126:I126)</x:f>
        <x:v>0</x:v>
      </x:c>
      <x:c r="K126" s="73" t="n">
        <x:f>IF(AND('Inputs'!$E$56="On",SUM($X$26:$X$56)=1,$E$9&gt;0),$V$26+NPV(J126,$V$27:$V$56),0)</x:f>
        <x:v>0</x:v>
      </x:c>
      <x:c r="L126" s="2"/>
      <x:c r="M126" s="2"/>
      <x:c r="N126" s="2"/>
      <x:c r="O126" s="2"/>
      <x:c r="P126" s="2"/>
      <x:c r="Q126" s="2"/>
      <x:c r="R126" s="2"/>
      <x:c r="S126" s="2"/>
      <x:c r="T126" s="2"/>
      <x:c r="U126" s="2"/>
      <x:c r="V126" s="2"/>
      <x:c r="W126" s="2"/>
      <x:c r="X126" s="2"/>
      <x:c r="Y126" s="2"/>
      <x:c r="Z126" s="2"/>
      <x:c r="AA126" s="2"/>
      <x:c r="AB126" s="2"/>
      <x:c r="AC126" s="2"/>
      <x:c r="AD126" s="2"/>
      <x:c r="AE126" s="2"/>
    </x:row>
    <x:row r="127" ht="23" customHeight="1">
      <x:c r="C127" s="2"/>
      <x:c r="D127" s="2"/>
      <x:c r="E127" s="2"/>
      <x:c r="F127" s="2"/>
      <x:c r="G127" s="2" t="n">
        <x:v>31</x:v>
      </x:c>
      <x:c r="H127" s="72" t="n">
        <x:f>IF(AND('Inputs'!$E$56="On",SUM($X$26:$X$56)=1,$E$9&gt;0),IF(K126&gt;0,J126,H126),0)</x:f>
        <x:v>0</x:v>
      </x:c>
      <x:c r="I127" s="72" t="n">
        <x:f>IF(AND('Inputs'!$E$56="On",SUM($X$26:$X$56)=1,$E$9&gt;0),IF(K126&gt;0,I126,J126),0)</x:f>
        <x:v>0</x:v>
      </x:c>
      <x:c r="J127" s="61" t="n">
        <x:f>AVERAGE(H127:I127)</x:f>
        <x:v>0</x:v>
      </x:c>
      <x:c r="K127" s="73" t="n">
        <x:f>IF(AND('Inputs'!$E$56="On",SUM($X$26:$X$56)=1,$E$9&gt;0),$V$26+NPV(J127,$V$27:$V$56),0)</x:f>
        <x:v>0</x:v>
      </x:c>
      <x:c r="L127" s="2"/>
      <x:c r="M127" s="2"/>
      <x:c r="N127" s="2"/>
      <x:c r="O127" s="2"/>
      <x:c r="P127" s="2"/>
      <x:c r="Q127" s="2"/>
      <x:c r="R127" s="2"/>
      <x:c r="S127" s="2"/>
      <x:c r="T127" s="2"/>
      <x:c r="U127" s="2"/>
      <x:c r="V127" s="2"/>
      <x:c r="W127" s="2"/>
      <x:c r="X127" s="2"/>
      <x:c r="Y127" s="2"/>
      <x:c r="Z127" s="2"/>
      <x:c r="AA127" s="2"/>
      <x:c r="AB127" s="2"/>
      <x:c r="AC127" s="2"/>
      <x:c r="AD127" s="2"/>
      <x:c r="AE127" s="2"/>
    </x:row>
    <x:row r="128" ht="23" customHeight="1">
      <x:c r="C128" s="2"/>
      <x:c r="D128" s="2"/>
      <x:c r="E128" s="2"/>
      <x:c r="F128" s="2"/>
      <x:c r="G128" s="2" t="n">
        <x:v>32</x:v>
      </x:c>
      <x:c r="H128" s="72" t="n">
        <x:f>IF(AND('Inputs'!$E$56="On",SUM($X$26:$X$56)=1,$E$9&gt;0),IF(K127&gt;0,J127,H127),0)</x:f>
        <x:v>0</x:v>
      </x:c>
      <x:c r="I128" s="72" t="n">
        <x:f>IF(AND('Inputs'!$E$56="On",SUM($X$26:$X$56)=1,$E$9&gt;0),IF(K127&gt;0,I127,J127),0)</x:f>
        <x:v>0</x:v>
      </x:c>
      <x:c r="J128" s="61" t="n">
        <x:f>AVERAGE(H128:I128)</x:f>
        <x:v>0</x:v>
      </x:c>
      <x:c r="K128" s="73" t="n">
        <x:f>IF(AND('Inputs'!$E$56="On",SUM($X$26:$X$56)=1,$E$9&gt;0),$V$26+NPV(J128,$V$27:$V$56),0)</x:f>
        <x:v>0</x:v>
      </x:c>
      <x:c r="L128" s="2"/>
      <x:c r="M128" s="2"/>
      <x:c r="N128" s="2"/>
      <x:c r="O128" s="2"/>
      <x:c r="P128" s="2"/>
      <x:c r="Q128" s="2"/>
      <x:c r="R128" s="2"/>
      <x:c r="S128" s="2"/>
      <x:c r="T128" s="2"/>
      <x:c r="U128" s="2"/>
      <x:c r="V128" s="2"/>
      <x:c r="W128" s="2"/>
      <x:c r="X128" s="2"/>
      <x:c r="Y128" s="2"/>
      <x:c r="Z128" s="2"/>
      <x:c r="AA128" s="2"/>
      <x:c r="AB128" s="2"/>
      <x:c r="AC128" s="2"/>
      <x:c r="AD128" s="2"/>
      <x:c r="AE128" s="2"/>
    </x:row>
    <x:row r="129" ht="23" customHeight="1">
      <x:c r="C129" s="2"/>
      <x:c r="D129" s="2"/>
      <x:c r="E129" s="2"/>
      <x:c r="F129" s="2"/>
      <x:c r="G129" s="2" t="n">
        <x:v>33</x:v>
      </x:c>
      <x:c r="H129" s="72" t="n">
        <x:f>IF(AND('Inputs'!$E$56="On",SUM($X$26:$X$56)=1,$E$9&gt;0),IF(K128&gt;0,J128,H128),0)</x:f>
        <x:v>0</x:v>
      </x:c>
      <x:c r="I129" s="72" t="n">
        <x:f>IF(AND('Inputs'!$E$56="On",SUM($X$26:$X$56)=1,$E$9&gt;0),IF(K128&gt;0,I128,J128),0)</x:f>
        <x:v>0</x:v>
      </x:c>
      <x:c r="J129" s="61" t="n">
        <x:f>AVERAGE(H129:I129)</x:f>
        <x:v>0</x:v>
      </x:c>
      <x:c r="K129" s="73" t="n">
        <x:f>IF(AND('Inputs'!$E$56="On",SUM($X$26:$X$56)=1,$E$9&gt;0),$V$26+NPV(J129,$V$27:$V$56),0)</x:f>
        <x:v>0</x:v>
      </x:c>
      <x:c r="L129" s="2"/>
      <x:c r="M129" s="2"/>
      <x:c r="N129" s="2"/>
      <x:c r="O129" s="2"/>
      <x:c r="P129" s="2"/>
      <x:c r="Q129" s="2"/>
      <x:c r="R129" s="2"/>
      <x:c r="S129" s="2"/>
      <x:c r="T129" s="2"/>
      <x:c r="U129" s="2"/>
      <x:c r="V129" s="2"/>
      <x:c r="W129" s="2"/>
      <x:c r="X129" s="2"/>
      <x:c r="Y129" s="2"/>
      <x:c r="Z129" s="2"/>
      <x:c r="AA129" s="2"/>
      <x:c r="AB129" s="2"/>
      <x:c r="AC129" s="2"/>
      <x:c r="AD129" s="2"/>
      <x:c r="AE129" s="2"/>
    </x:row>
    <x:row r="130" ht="23" customHeight="1">
      <x:c r="C130" s="2"/>
      <x:c r="D130" s="2"/>
      <x:c r="E130" s="2"/>
      <x:c r="F130" s="2"/>
      <x:c r="G130" s="2" t="n">
        <x:v>34</x:v>
      </x:c>
      <x:c r="H130" s="72" t="n">
        <x:f>IF(AND('Inputs'!$E$56="On",SUM($X$26:$X$56)=1,$E$9&gt;0),IF(K129&gt;0,J129,H129),0)</x:f>
        <x:v>0</x:v>
      </x:c>
      <x:c r="I130" s="72" t="n">
        <x:f>IF(AND('Inputs'!$E$56="On",SUM($X$26:$X$56)=1,$E$9&gt;0),IF(K129&gt;0,I129,J129),0)</x:f>
        <x:v>0</x:v>
      </x:c>
      <x:c r="J130" s="61" t="n">
        <x:f>AVERAGE(H130:I130)</x:f>
        <x:v>0</x:v>
      </x:c>
      <x:c r="K130" s="73" t="n">
        <x:f>IF(AND('Inputs'!$E$56="On",SUM($X$26:$X$56)=1,$E$9&gt;0),$V$26+NPV(J130,$V$27:$V$56),0)</x:f>
        <x:v>0</x:v>
      </x:c>
      <x:c r="L130" s="2"/>
      <x:c r="M130" s="2"/>
      <x:c r="N130" s="2"/>
      <x:c r="O130" s="2"/>
      <x:c r="P130" s="2"/>
      <x:c r="Q130" s="2"/>
      <x:c r="R130" s="2"/>
      <x:c r="S130" s="2"/>
      <x:c r="T130" s="2"/>
      <x:c r="U130" s="2"/>
      <x:c r="V130" s="2"/>
      <x:c r="W130" s="2"/>
      <x:c r="X130" s="2"/>
      <x:c r="Y130" s="2"/>
      <x:c r="Z130" s="2"/>
      <x:c r="AA130" s="2"/>
      <x:c r="AB130" s="2"/>
      <x:c r="AC130" s="2"/>
      <x:c r="AD130" s="2"/>
      <x:c r="AE130" s="2"/>
    </x:row>
    <x:row r="131" ht="23" customHeight="1">
      <x:c r="C131" s="2"/>
      <x:c r="D131" s="2"/>
      <x:c r="E131" s="2"/>
      <x:c r="F131" s="2"/>
      <x:c r="G131" s="2" t="n">
        <x:v>35</x:v>
      </x:c>
      <x:c r="H131" s="72" t="n">
        <x:f>IF(AND('Inputs'!$E$56="On",SUM($X$26:$X$56)=1,$E$9&gt;0),IF(K130&gt;0,J130,H130),0)</x:f>
        <x:v>0</x:v>
      </x:c>
      <x:c r="I131" s="72" t="n">
        <x:f>IF(AND('Inputs'!$E$56="On",SUM($X$26:$X$56)=1,$E$9&gt;0),IF(K130&gt;0,I130,J130),0)</x:f>
        <x:v>0</x:v>
      </x:c>
      <x:c r="J131" s="61" t="n">
        <x:f>AVERAGE(H131:I131)</x:f>
        <x:v>0</x:v>
      </x:c>
      <x:c r="K131" s="73" t="n">
        <x:f>IF(AND('Inputs'!$E$56="On",SUM($X$26:$X$56)=1,$E$9&gt;0),$V$26+NPV(J131,$V$27:$V$56),0)</x:f>
        <x:v>0</x:v>
      </x:c>
      <x:c r="L131" s="2"/>
      <x:c r="M131" s="2"/>
      <x:c r="N131" s="2"/>
      <x:c r="O131" s="2"/>
      <x:c r="P131" s="2"/>
      <x:c r="Q131" s="2"/>
      <x:c r="R131" s="2"/>
      <x:c r="S131" s="2"/>
      <x:c r="T131" s="2"/>
      <x:c r="U131" s="2"/>
      <x:c r="V131" s="2"/>
      <x:c r="W131" s="2"/>
      <x:c r="X131" s="2"/>
      <x:c r="Y131" s="2"/>
      <x:c r="Z131" s="2"/>
      <x:c r="AA131" s="2"/>
      <x:c r="AB131" s="2"/>
      <x:c r="AC131" s="2"/>
      <x:c r="AD131" s="2"/>
      <x:c r="AE131" s="2"/>
    </x:row>
    <x:row r="132" ht="23" customHeight="1">
      <x:c r="C132" s="2"/>
      <x:c r="D132" s="2"/>
      <x:c r="E132" s="2"/>
      <x:c r="F132" s="2"/>
      <x:c r="G132" s="2" t="n">
        <x:v>36</x:v>
      </x:c>
      <x:c r="H132" s="72" t="n">
        <x:f>IF(AND('Inputs'!$E$56="On",SUM($X$26:$X$56)=1,$E$9&gt;0),IF(K131&gt;0,J131,H131),0)</x:f>
        <x:v>0</x:v>
      </x:c>
      <x:c r="I132" s="72" t="n">
        <x:f>IF(AND('Inputs'!$E$56="On",SUM($X$26:$X$56)=1,$E$9&gt;0),IF(K131&gt;0,I131,J131),0)</x:f>
        <x:v>0</x:v>
      </x:c>
      <x:c r="J132" s="61" t="n">
        <x:f>AVERAGE(H132:I132)</x:f>
        <x:v>0</x:v>
      </x:c>
      <x:c r="K132" s="73" t="n">
        <x:f>IF(AND('Inputs'!$E$56="On",SUM($X$26:$X$56)=1,$E$9&gt;0),$V$26+NPV(J132,$V$27:$V$56),0)</x:f>
        <x:v>0</x:v>
      </x:c>
      <x:c r="L132" s="2"/>
      <x:c r="M132" s="2"/>
      <x:c r="N132" s="2"/>
      <x:c r="O132" s="2"/>
      <x:c r="P132" s="2"/>
      <x:c r="Q132" s="2"/>
      <x:c r="R132" s="2"/>
      <x:c r="S132" s="2"/>
      <x:c r="T132" s="2"/>
      <x:c r="U132" s="2"/>
      <x:c r="V132" s="2"/>
      <x:c r="W132" s="2"/>
      <x:c r="X132" s="2"/>
      <x:c r="Y132" s="2"/>
      <x:c r="Z132" s="2"/>
      <x:c r="AA132" s="2"/>
      <x:c r="AB132" s="2"/>
      <x:c r="AC132" s="2"/>
      <x:c r="AD132" s="2"/>
      <x:c r="AE132" s="2"/>
    </x:row>
    <x:row r="133" ht="23" customHeight="1">
      <x:c r="C133" s="2"/>
      <x:c r="D133" s="2"/>
      <x:c r="E133" s="2"/>
      <x:c r="F133" s="2"/>
      <x:c r="G133" s="2" t="n">
        <x:v>37</x:v>
      </x:c>
      <x:c r="H133" s="72" t="n">
        <x:f>IF(AND('Inputs'!$E$56="On",SUM($X$26:$X$56)=1,$E$9&gt;0),IF(K132&gt;0,J132,H132),0)</x:f>
        <x:v>0</x:v>
      </x:c>
      <x:c r="I133" s="72" t="n">
        <x:f>IF(AND('Inputs'!$E$56="On",SUM($X$26:$X$56)=1,$E$9&gt;0),IF(K132&gt;0,I132,J132),0)</x:f>
        <x:v>0</x:v>
      </x:c>
      <x:c r="J133" s="61" t="n">
        <x:f>AVERAGE(H133:I133)</x:f>
        <x:v>0</x:v>
      </x:c>
      <x:c r="K133" s="73" t="n">
        <x:f>IF(AND('Inputs'!$E$56="On",SUM($X$26:$X$56)=1,$E$9&gt;0),$V$26+NPV(J133,$V$27:$V$56),0)</x:f>
        <x:v>0</x:v>
      </x:c>
      <x:c r="L133" s="2"/>
      <x:c r="M133" s="2"/>
      <x:c r="N133" s="2"/>
      <x:c r="O133" s="2"/>
      <x:c r="P133" s="2"/>
      <x:c r="Q133" s="2"/>
      <x:c r="R133" s="2"/>
      <x:c r="S133" s="2"/>
      <x:c r="T133" s="2"/>
      <x:c r="U133" s="2"/>
      <x:c r="V133" s="2"/>
      <x:c r="W133" s="2"/>
      <x:c r="X133" s="2"/>
      <x:c r="Y133" s="2"/>
      <x:c r="Z133" s="2"/>
      <x:c r="AA133" s="2"/>
      <x:c r="AB133" s="2"/>
      <x:c r="AC133" s="2"/>
      <x:c r="AD133" s="2"/>
      <x:c r="AE133" s="2"/>
    </x:row>
    <x:row r="134" ht="23" customHeight="1">
      <x:c r="C134" s="2"/>
      <x:c r="D134" s="2"/>
      <x:c r="E134" s="2"/>
      <x:c r="F134" s="2"/>
      <x:c r="G134" s="2" t="n">
        <x:v>38</x:v>
      </x:c>
      <x:c r="H134" s="72" t="n">
        <x:f>IF(AND('Inputs'!$E$56="On",SUM($X$26:$X$56)=1,$E$9&gt;0),IF(K133&gt;0,J133,H133),0)</x:f>
        <x:v>0</x:v>
      </x:c>
      <x:c r="I134" s="72" t="n">
        <x:f>IF(AND('Inputs'!$E$56="On",SUM($X$26:$X$56)=1,$E$9&gt;0),IF(K133&gt;0,I133,J133),0)</x:f>
        <x:v>0</x:v>
      </x:c>
      <x:c r="J134" s="61" t="n">
        <x:f>AVERAGE(H134:I134)</x:f>
        <x:v>0</x:v>
      </x:c>
      <x:c r="K134" s="73" t="n">
        <x:f>IF(AND('Inputs'!$E$56="On",SUM($X$26:$X$56)=1,$E$9&gt;0),$V$26+NPV(J134,$V$27:$V$56),0)</x:f>
        <x:v>0</x:v>
      </x:c>
      <x:c r="L134" s="2"/>
      <x:c r="M134" s="2"/>
      <x:c r="N134" s="2"/>
      <x:c r="O134" s="2"/>
      <x:c r="P134" s="2"/>
      <x:c r="Q134" s="2"/>
      <x:c r="R134" s="2"/>
      <x:c r="S134" s="2"/>
      <x:c r="T134" s="2"/>
      <x:c r="U134" s="2"/>
      <x:c r="V134" s="2"/>
      <x:c r="W134" s="2"/>
      <x:c r="X134" s="2"/>
      <x:c r="Y134" s="2"/>
      <x:c r="Z134" s="2"/>
      <x:c r="AA134" s="2"/>
      <x:c r="AB134" s="2"/>
      <x:c r="AC134" s="2"/>
      <x:c r="AD134" s="2"/>
      <x:c r="AE134" s="2"/>
    </x:row>
    <x:row r="135" ht="23" customHeight="1">
      <x:c r="C135" s="2"/>
      <x:c r="D135" s="2"/>
      <x:c r="E135" s="2"/>
      <x:c r="F135" s="2"/>
      <x:c r="G135" s="2" t="n">
        <x:v>39</x:v>
      </x:c>
      <x:c r="H135" s="72" t="n">
        <x:f>IF(AND('Inputs'!$E$56="On",SUM($X$26:$X$56)=1,$E$9&gt;0),IF(K134&gt;0,J134,H134),0)</x:f>
        <x:v>0</x:v>
      </x:c>
      <x:c r="I135" s="72" t="n">
        <x:f>IF(AND('Inputs'!$E$56="On",SUM($X$26:$X$56)=1,$E$9&gt;0),IF(K134&gt;0,I134,J134),0)</x:f>
        <x:v>0</x:v>
      </x:c>
      <x:c r="J135" s="61" t="n">
        <x:f>AVERAGE(H135:I135)</x:f>
        <x:v>0</x:v>
      </x:c>
      <x:c r="K135" s="73" t="n">
        <x:f>IF(AND('Inputs'!$E$56="On",SUM($X$26:$X$56)=1,$E$9&gt;0),$V$26+NPV(J135,$V$27:$V$56),0)</x:f>
        <x:v>0</x:v>
      </x:c>
      <x:c r="L135" s="2"/>
      <x:c r="M135" s="2"/>
      <x:c r="N135" s="2"/>
      <x:c r="O135" s="2"/>
      <x:c r="P135" s="2"/>
      <x:c r="Q135" s="2"/>
      <x:c r="R135" s="2"/>
      <x:c r="S135" s="2"/>
      <x:c r="T135" s="2"/>
      <x:c r="U135" s="2"/>
      <x:c r="V135" s="2"/>
      <x:c r="W135" s="2"/>
      <x:c r="X135" s="2"/>
      <x:c r="Y135" s="2"/>
      <x:c r="Z135" s="2"/>
      <x:c r="AA135" s="2"/>
      <x:c r="AB135" s="2"/>
      <x:c r="AC135" s="2"/>
      <x:c r="AD135" s="2"/>
      <x:c r="AE135" s="2"/>
    </x:row>
    <x:row r="136" ht="23" customHeight="1">
      <x:c r="C136" s="2"/>
      <x:c r="D136" s="2"/>
      <x:c r="E136" s="2"/>
      <x:c r="F136" s="2"/>
      <x:c r="G136" s="2" t="n">
        <x:v>40</x:v>
      </x:c>
      <x:c r="H136" s="72" t="n">
        <x:f>IF(AND('Inputs'!$E$56="On",SUM($X$26:$X$56)=1,$E$9&gt;0),IF(K135&gt;0,J135,H135),0)</x:f>
        <x:v>0</x:v>
      </x:c>
      <x:c r="I136" s="72" t="n">
        <x:f>IF(AND('Inputs'!$E$56="On",SUM($X$26:$X$56)=1,$E$9&gt;0),IF(K135&gt;0,I135,J135),0)</x:f>
        <x:v>0</x:v>
      </x:c>
      <x:c r="J136" s="61" t="n">
        <x:f>AVERAGE(H136:I136)</x:f>
        <x:v>0</x:v>
      </x:c>
      <x:c r="K136" s="73" t="n">
        <x:f>IF(AND('Inputs'!$E$56="On",SUM($X$26:$X$56)=1,$E$9&gt;0),$V$26+NPV(J136,$V$27:$V$56),0)</x:f>
        <x:v>0</x:v>
      </x:c>
      <x:c r="L136" s="2"/>
      <x:c r="M136" s="2"/>
      <x:c r="N136" s="2"/>
      <x:c r="O136" s="2"/>
      <x:c r="P136" s="2"/>
      <x:c r="Q136" s="2"/>
      <x:c r="R136" s="2"/>
      <x:c r="S136" s="2"/>
      <x:c r="T136" s="2"/>
      <x:c r="U136" s="2"/>
      <x:c r="V136" s="2"/>
      <x:c r="W136" s="2"/>
      <x:c r="X136" s="2"/>
      <x:c r="Y136" s="2"/>
      <x:c r="Z136" s="2"/>
      <x:c r="AA136" s="2"/>
      <x:c r="AB136" s="2"/>
      <x:c r="AC136" s="2"/>
      <x:c r="AD136" s="2"/>
      <x:c r="AE136" s="2"/>
    </x:row>
    <x:row r="137" ht="23" customHeight="1">
      <x:c r="C137" s="2"/>
      <x:c r="D137" s="2"/>
      <x:c r="E137" s="2"/>
      <x:c r="F137" s="2"/>
      <x:c r="G137" s="2" t="n">
        <x:v>41</x:v>
      </x:c>
      <x:c r="H137" s="72" t="n">
        <x:f>IF(AND('Inputs'!$E$56="On",SUM($X$26:$X$56)=1,$E$9&gt;0),IF(K136&gt;0,J136,H136),0)</x:f>
        <x:v>0</x:v>
      </x:c>
      <x:c r="I137" s="72" t="n">
        <x:f>IF(AND('Inputs'!$E$56="On",SUM($X$26:$X$56)=1,$E$9&gt;0),IF(K136&gt;0,I136,J136),0)</x:f>
        <x:v>0</x:v>
      </x:c>
      <x:c r="J137" s="61" t="n">
        <x:f>AVERAGE(H137:I137)</x:f>
        <x:v>0</x:v>
      </x:c>
      <x:c r="K137" s="73" t="n">
        <x:f>IF(AND('Inputs'!$E$56="On",SUM($X$26:$X$56)=1,$E$9&gt;0),$V$26+NPV(J137,$V$27:$V$56),0)</x:f>
        <x:v>0</x:v>
      </x:c>
      <x:c r="L137" s="2"/>
      <x:c r="M137" s="2"/>
      <x:c r="N137" s="2"/>
      <x:c r="O137" s="2"/>
      <x:c r="P137" s="2"/>
      <x:c r="Q137" s="2"/>
      <x:c r="R137" s="2"/>
      <x:c r="S137" s="2"/>
      <x:c r="T137" s="2"/>
      <x:c r="U137" s="2"/>
      <x:c r="V137" s="2"/>
      <x:c r="W137" s="2"/>
      <x:c r="X137" s="2"/>
      <x:c r="Y137" s="2"/>
      <x:c r="Z137" s="2"/>
      <x:c r="AA137" s="2"/>
      <x:c r="AB137" s="2"/>
      <x:c r="AC137" s="2"/>
      <x:c r="AD137" s="2"/>
      <x:c r="AE137" s="2"/>
    </x:row>
    <x:row r="138" ht="23" customHeight="1">
      <x:c r="C138" s="2"/>
      <x:c r="D138" s="2"/>
      <x:c r="E138" s="2"/>
      <x:c r="F138" s="2"/>
      <x:c r="G138" s="2" t="n">
        <x:v>42</x:v>
      </x:c>
      <x:c r="H138" s="72" t="n">
        <x:f>IF(AND('Inputs'!$E$56="On",SUM($X$26:$X$56)=1,$E$9&gt;0),IF(K137&gt;0,J137,H137),0)</x:f>
        <x:v>0</x:v>
      </x:c>
      <x:c r="I138" s="72" t="n">
        <x:f>IF(AND('Inputs'!$E$56="On",SUM($X$26:$X$56)=1,$E$9&gt;0),IF(K137&gt;0,I137,J137),0)</x:f>
        <x:v>0</x:v>
      </x:c>
      <x:c r="J138" s="61" t="n">
        <x:f>AVERAGE(H138:I138)</x:f>
        <x:v>0</x:v>
      </x:c>
      <x:c r="K138" s="73" t="n">
        <x:f>IF(AND('Inputs'!$E$56="On",SUM($X$26:$X$56)=1,$E$9&gt;0),$V$26+NPV(J138,$V$27:$V$56),0)</x:f>
        <x:v>0</x:v>
      </x:c>
      <x:c r="L138" s="2"/>
      <x:c r="M138" s="2"/>
      <x:c r="N138" s="2"/>
      <x:c r="O138" s="2"/>
      <x:c r="P138" s="2"/>
      <x:c r="Q138" s="2"/>
      <x:c r="R138" s="2"/>
      <x:c r="S138" s="2"/>
      <x:c r="T138" s="2"/>
      <x:c r="U138" s="2"/>
      <x:c r="V138" s="2"/>
      <x:c r="W138" s="2"/>
      <x:c r="X138" s="2"/>
      <x:c r="Y138" s="2"/>
      <x:c r="Z138" s="2"/>
      <x:c r="AA138" s="2"/>
      <x:c r="AB138" s="2"/>
      <x:c r="AC138" s="2"/>
      <x:c r="AD138" s="2"/>
      <x:c r="AE138" s="2"/>
    </x:row>
    <x:row r="139" ht="23" customHeight="1">
      <x:c r="C139" s="2"/>
      <x:c r="D139" s="2"/>
      <x:c r="E139" s="2"/>
      <x:c r="F139" s="2"/>
      <x:c r="G139" s="2" t="n">
        <x:v>43</x:v>
      </x:c>
      <x:c r="H139" s="72" t="n">
        <x:f>IF(AND('Inputs'!$E$56="On",SUM($X$26:$X$56)=1,$E$9&gt;0),IF(K138&gt;0,J138,H138),0)</x:f>
        <x:v>0</x:v>
      </x:c>
      <x:c r="I139" s="72" t="n">
        <x:f>IF(AND('Inputs'!$E$56="On",SUM($X$26:$X$56)=1,$E$9&gt;0),IF(K138&gt;0,I138,J138),0)</x:f>
        <x:v>0</x:v>
      </x:c>
      <x:c r="J139" s="61" t="n">
        <x:f>AVERAGE(H139:I139)</x:f>
        <x:v>0</x:v>
      </x:c>
      <x:c r="K139" s="73" t="n">
        <x:f>IF(AND('Inputs'!$E$56="On",SUM($X$26:$X$56)=1,$E$9&gt;0),$V$26+NPV(J139,$V$27:$V$56),0)</x:f>
        <x:v>0</x:v>
      </x:c>
      <x:c r="L139" s="2"/>
      <x:c r="M139" s="2"/>
      <x:c r="N139" s="2"/>
      <x:c r="O139" s="2"/>
      <x:c r="P139" s="2"/>
      <x:c r="Q139" s="2"/>
      <x:c r="R139" s="2"/>
      <x:c r="S139" s="2"/>
      <x:c r="T139" s="2"/>
      <x:c r="U139" s="2"/>
      <x:c r="V139" s="2"/>
      <x:c r="W139" s="2"/>
      <x:c r="X139" s="2"/>
      <x:c r="Y139" s="2"/>
      <x:c r="Z139" s="2"/>
      <x:c r="AA139" s="2"/>
      <x:c r="AB139" s="2"/>
      <x:c r="AC139" s="2"/>
      <x:c r="AD139" s="2"/>
      <x:c r="AE139" s="2"/>
    </x:row>
    <x:row r="140" ht="23" customHeight="1">
      <x:c r="C140" s="2"/>
      <x:c r="D140" s="2"/>
      <x:c r="E140" s="2"/>
      <x:c r="F140" s="2"/>
      <x:c r="G140" s="2" t="n">
        <x:v>44</x:v>
      </x:c>
      <x:c r="H140" s="72" t="n">
        <x:f>IF(AND('Inputs'!$E$56="On",SUM($X$26:$X$56)=1,$E$9&gt;0),IF(K139&gt;0,J139,H139),0)</x:f>
        <x:v>0</x:v>
      </x:c>
      <x:c r="I140" s="72" t="n">
        <x:f>IF(AND('Inputs'!$E$56="On",SUM($X$26:$X$56)=1,$E$9&gt;0),IF(K139&gt;0,I139,J139),0)</x:f>
        <x:v>0</x:v>
      </x:c>
      <x:c r="J140" s="61" t="n">
        <x:f>AVERAGE(H140:I140)</x:f>
        <x:v>0</x:v>
      </x:c>
      <x:c r="K140" s="73" t="n">
        <x:f>IF(AND('Inputs'!$E$56="On",SUM($X$26:$X$56)=1,$E$9&gt;0),$V$26+NPV(J140,$V$27:$V$56),0)</x:f>
        <x:v>0</x:v>
      </x:c>
      <x:c r="L140" s="2"/>
      <x:c r="M140" s="2"/>
      <x:c r="N140" s="2"/>
      <x:c r="O140" s="2"/>
      <x:c r="P140" s="2"/>
      <x:c r="Q140" s="2"/>
      <x:c r="R140" s="2"/>
      <x:c r="S140" s="2"/>
      <x:c r="T140" s="2"/>
      <x:c r="U140" s="2"/>
      <x:c r="V140" s="2"/>
      <x:c r="W140" s="2"/>
      <x:c r="X140" s="2"/>
      <x:c r="Y140" s="2"/>
      <x:c r="Z140" s="2"/>
      <x:c r="AA140" s="2"/>
      <x:c r="AB140" s="2"/>
      <x:c r="AC140" s="2"/>
      <x:c r="AD140" s="2"/>
      <x:c r="AE140" s="2"/>
    </x:row>
    <x:row r="141" ht="23" customHeight="1">
      <x:c r="C141" s="2"/>
      <x:c r="D141" s="2"/>
      <x:c r="E141" s="2"/>
      <x:c r="F141" s="2"/>
      <x:c r="G141" s="2" t="n">
        <x:v>45</x:v>
      </x:c>
      <x:c r="H141" s="72" t="n">
        <x:f>IF(AND('Inputs'!$E$56="On",SUM($X$26:$X$56)=1,$E$9&gt;0),IF(K140&gt;0,J140,H140),0)</x:f>
        <x:v>0</x:v>
      </x:c>
      <x:c r="I141" s="72" t="n">
        <x:f>IF(AND('Inputs'!$E$56="On",SUM($X$26:$X$56)=1,$E$9&gt;0),IF(K140&gt;0,I140,J140),0)</x:f>
        <x:v>0</x:v>
      </x:c>
      <x:c r="J141" s="61" t="n">
        <x:f>AVERAGE(H141:I141)</x:f>
        <x:v>0</x:v>
      </x:c>
      <x:c r="K141" s="73" t="n">
        <x:f>IF(AND('Inputs'!$E$56="On",SUM($X$26:$X$56)=1,$E$9&gt;0),$V$26+NPV(J141,$V$27:$V$56),0)</x:f>
        <x:v>0</x:v>
      </x:c>
      <x:c r="L141" s="2"/>
      <x:c r="M141" s="2"/>
      <x:c r="N141" s="2"/>
      <x:c r="O141" s="2"/>
      <x:c r="P141" s="2"/>
      <x:c r="Q141" s="2"/>
      <x:c r="R141" s="2"/>
      <x:c r="S141" s="2"/>
      <x:c r="T141" s="2"/>
      <x:c r="U141" s="2"/>
      <x:c r="V141" s="2"/>
      <x:c r="W141" s="2"/>
      <x:c r="X141" s="2"/>
      <x:c r="Y141" s="2"/>
      <x:c r="Z141" s="2"/>
      <x:c r="AA141" s="2"/>
      <x:c r="AB141" s="2"/>
      <x:c r="AC141" s="2"/>
      <x:c r="AD141" s="2"/>
      <x:c r="AE141" s="2"/>
    </x:row>
    <x:row r="142" ht="23" customHeight="1">
      <x:c r="C142" s="2"/>
      <x:c r="D142" s="2"/>
      <x:c r="E142" s="2"/>
      <x:c r="F142" s="2"/>
      <x:c r="G142" s="2" t="n">
        <x:v>46</x:v>
      </x:c>
      <x:c r="H142" s="72" t="n">
        <x:f>IF(AND('Inputs'!$E$56="On",SUM($X$26:$X$56)=1,$E$9&gt;0),IF(K141&gt;0,J141,H141),0)</x:f>
        <x:v>0</x:v>
      </x:c>
      <x:c r="I142" s="72" t="n">
        <x:f>IF(AND('Inputs'!$E$56="On",SUM($X$26:$X$56)=1,$E$9&gt;0),IF(K141&gt;0,I141,J141),0)</x:f>
        <x:v>0</x:v>
      </x:c>
      <x:c r="J142" s="61" t="n">
        <x:f>AVERAGE(H142:I142)</x:f>
        <x:v>0</x:v>
      </x:c>
      <x:c r="K142" s="73" t="n">
        <x:f>IF(AND('Inputs'!$E$56="On",SUM($X$26:$X$56)=1,$E$9&gt;0),$V$26+NPV(J142,$V$27:$V$56),0)</x:f>
        <x:v>0</x:v>
      </x:c>
      <x:c r="L142" s="2"/>
      <x:c r="M142" s="2"/>
      <x:c r="N142" s="2"/>
      <x:c r="O142" s="2"/>
      <x:c r="P142" s="2"/>
      <x:c r="Q142" s="2"/>
      <x:c r="R142" s="2"/>
      <x:c r="S142" s="2"/>
      <x:c r="T142" s="2"/>
      <x:c r="U142" s="2"/>
      <x:c r="V142" s="2"/>
      <x:c r="W142" s="2"/>
      <x:c r="X142" s="2"/>
      <x:c r="Y142" s="2"/>
      <x:c r="Z142" s="2"/>
      <x:c r="AA142" s="2"/>
      <x:c r="AB142" s="2"/>
      <x:c r="AC142" s="2"/>
      <x:c r="AD142" s="2"/>
      <x:c r="AE142" s="2"/>
    </x:row>
    <x:row r="143" ht="23" customHeight="1">
      <x:c r="C143" s="2"/>
      <x:c r="D143" s="2"/>
      <x:c r="E143" s="2"/>
      <x:c r="F143" s="2"/>
      <x:c r="G143" s="2" t="n">
        <x:v>47</x:v>
      </x:c>
      <x:c r="H143" s="72" t="n">
        <x:f>IF(AND('Inputs'!$E$56="On",SUM($X$26:$X$56)=1,$E$9&gt;0),IF(K142&gt;0,J142,H142),0)</x:f>
        <x:v>0</x:v>
      </x:c>
      <x:c r="I143" s="72" t="n">
        <x:f>IF(AND('Inputs'!$E$56="On",SUM($X$26:$X$56)=1,$E$9&gt;0),IF(K142&gt;0,I142,J142),0)</x:f>
        <x:v>0</x:v>
      </x:c>
      <x:c r="J143" s="61" t="n">
        <x:f>AVERAGE(H143:I143)</x:f>
        <x:v>0</x:v>
      </x:c>
      <x:c r="K143" s="73" t="n">
        <x:f>IF(AND('Inputs'!$E$56="On",SUM($X$26:$X$56)=1,$E$9&gt;0),$V$26+NPV(J143,$V$27:$V$56),0)</x:f>
        <x:v>0</x:v>
      </x:c>
      <x:c r="L143" s="2"/>
      <x:c r="M143" s="2"/>
      <x:c r="N143" s="2"/>
      <x:c r="O143" s="2"/>
      <x:c r="P143" s="2"/>
      <x:c r="Q143" s="2"/>
      <x:c r="R143" s="2"/>
      <x:c r="S143" s="2"/>
      <x:c r="T143" s="2"/>
      <x:c r="U143" s="2"/>
      <x:c r="V143" s="2"/>
      <x:c r="W143" s="2"/>
      <x:c r="X143" s="2"/>
      <x:c r="Y143" s="2"/>
      <x:c r="Z143" s="2"/>
      <x:c r="AA143" s="2"/>
      <x:c r="AB143" s="2"/>
      <x:c r="AC143" s="2"/>
      <x:c r="AD143" s="2"/>
      <x:c r="AE143" s="2"/>
    </x:row>
    <x:row r="144" ht="23" customHeight="1">
      <x:c r="C144" s="2"/>
      <x:c r="D144" s="2"/>
      <x:c r="E144" s="2"/>
      <x:c r="F144" s="2"/>
      <x:c r="G144" s="2" t="n">
        <x:v>48</x:v>
      </x:c>
      <x:c r="H144" s="72" t="n">
        <x:f>IF(AND('Inputs'!$E$56="On",SUM($X$26:$X$56)=1,$E$9&gt;0),IF(K143&gt;0,J143,H143),0)</x:f>
        <x:v>0</x:v>
      </x:c>
      <x:c r="I144" s="72" t="n">
        <x:f>IF(AND('Inputs'!$E$56="On",SUM($X$26:$X$56)=1,$E$9&gt;0),IF(K143&gt;0,I143,J143),0)</x:f>
        <x:v>0</x:v>
      </x:c>
      <x:c r="J144" s="61" t="n">
        <x:f>AVERAGE(H144:I144)</x:f>
        <x:v>0</x:v>
      </x:c>
      <x:c r="K144" s="73" t="n">
        <x:f>IF(AND('Inputs'!$E$56="On",SUM($X$26:$X$56)=1,$E$9&gt;0),$V$26+NPV(J144,$V$27:$V$56),0)</x:f>
        <x:v>0</x:v>
      </x:c>
      <x:c r="L144" s="2"/>
      <x:c r="M144" s="2"/>
      <x:c r="N144" s="2"/>
      <x:c r="O144" s="2"/>
      <x:c r="P144" s="2"/>
      <x:c r="Q144" s="2"/>
      <x:c r="R144" s="2"/>
      <x:c r="S144" s="2"/>
      <x:c r="T144" s="2"/>
      <x:c r="U144" s="2"/>
      <x:c r="V144" s="2"/>
      <x:c r="W144" s="2"/>
      <x:c r="X144" s="2"/>
      <x:c r="Y144" s="2"/>
      <x:c r="Z144" s="2"/>
      <x:c r="AA144" s="2"/>
      <x:c r="AB144" s="2"/>
      <x:c r="AC144" s="2"/>
      <x:c r="AD144" s="2"/>
      <x:c r="AE144" s="2"/>
    </x:row>
    <x:row r="145" ht="23" customHeight="1">
      <x:c r="C145" s="2"/>
      <x:c r="D145" s="2"/>
      <x:c r="E145" s="2"/>
      <x:c r="F145" s="2"/>
      <x:c r="G145" s="2" t="n">
        <x:v>49</x:v>
      </x:c>
      <x:c r="H145" s="72" t="n">
        <x:f>IF(AND('Inputs'!$E$56="On",SUM($X$26:$X$56)=1,$E$9&gt;0),IF(K144&gt;0,J144,H144),0)</x:f>
        <x:v>0</x:v>
      </x:c>
      <x:c r="I145" s="72" t="n">
        <x:f>IF(AND('Inputs'!$E$56="On",SUM($X$26:$X$56)=1,$E$9&gt;0),IF(K144&gt;0,I144,J144),0)</x:f>
        <x:v>0</x:v>
      </x:c>
      <x:c r="J145" s="61" t="n">
        <x:f>AVERAGE(H145:I145)</x:f>
        <x:v>0</x:v>
      </x:c>
      <x:c r="K145" s="73" t="n">
        <x:f>IF(AND('Inputs'!$E$56="On",SUM($X$26:$X$56)=1,$E$9&gt;0),$V$26+NPV(J145,$V$27:$V$56),0)</x:f>
        <x:v>0</x:v>
      </x:c>
      <x:c r="L145" s="2"/>
      <x:c r="M145" s="2"/>
      <x:c r="N145" s="2"/>
      <x:c r="O145" s="2"/>
      <x:c r="P145" s="2"/>
      <x:c r="Q145" s="2"/>
      <x:c r="R145" s="2"/>
      <x:c r="S145" s="2"/>
      <x:c r="T145" s="2"/>
      <x:c r="U145" s="2"/>
      <x:c r="V145" s="2"/>
      <x:c r="W145" s="2"/>
      <x:c r="X145" s="2"/>
      <x:c r="Y145" s="2"/>
      <x:c r="Z145" s="2"/>
      <x:c r="AA145" s="2"/>
      <x:c r="AB145" s="2"/>
      <x:c r="AC145" s="2"/>
      <x:c r="AD145" s="2"/>
      <x:c r="AE145" s="2"/>
    </x:row>
    <x:row r="146" ht="23" customHeight="1">
      <x:c r="C146" s="2"/>
      <x:c r="D146" s="2"/>
      <x:c r="E146" s="2"/>
      <x:c r="F146" s="2"/>
      <x:c r="G146" s="2" t="n">
        <x:v>50</x:v>
      </x:c>
      <x:c r="H146" s="72" t="n">
        <x:f>IF(AND('Inputs'!$E$56="On",SUM($X$26:$X$56)=1,$E$9&gt;0),IF(K145&gt;0,J145,H145),0)</x:f>
        <x:v>0</x:v>
      </x:c>
      <x:c r="I146" s="72" t="n">
        <x:f>IF(AND('Inputs'!$E$56="On",SUM($X$26:$X$56)=1,$E$9&gt;0),IF(K145&gt;0,I145,J145),0)</x:f>
        <x:v>0</x:v>
      </x:c>
      <x:c r="J146" s="61" t="n">
        <x:f>AVERAGE(H146:I146)</x:f>
        <x:v>0</x:v>
      </x:c>
      <x:c r="K146" s="73" t="n">
        <x:f>IF(AND('Inputs'!$E$56="On",SUM($X$26:$X$56)=1,$E$9&gt;0),$V$26+NPV(J146,$V$27:$V$56),0)</x:f>
        <x:v>0</x:v>
      </x:c>
      <x:c r="L146" s="2"/>
      <x:c r="M146" s="2"/>
      <x:c r="N146" s="2"/>
      <x:c r="O146" s="2"/>
      <x:c r="P146" s="2"/>
      <x:c r="Q146" s="2"/>
      <x:c r="R146" s="2"/>
      <x:c r="S146" s="2"/>
      <x:c r="T146" s="2"/>
      <x:c r="U146" s="2"/>
      <x:c r="V146" s="2"/>
      <x:c r="W146" s="2"/>
      <x:c r="X146" s="2"/>
      <x:c r="Y146" s="2"/>
      <x:c r="Z146" s="2"/>
      <x:c r="AA146" s="2"/>
      <x:c r="AB146" s="2"/>
      <x:c r="AC146" s="2"/>
      <x:c r="AD146" s="2"/>
      <x:c r="AE146" s="2"/>
    </x:row>
    <x:row r="147" ht="23" customHeight="1">
      <x:c r="C147" s="2"/>
      <x:c r="D147" s="2"/>
      <x:c r="E147" s="2"/>
      <x:c r="F147" s="2"/>
      <x:c r="G147" s="2" t="n">
        <x:v>51</x:v>
      </x:c>
      <x:c r="H147" s="72" t="n">
        <x:f>IF(AND('Inputs'!$E$56="On",SUM($X$26:$X$56)=1,$E$9&gt;0),IF(K146&gt;0,J146,H146),0)</x:f>
        <x:v>0</x:v>
      </x:c>
      <x:c r="I147" s="72" t="n">
        <x:f>IF(AND('Inputs'!$E$56="On",SUM($X$26:$X$56)=1,$E$9&gt;0),IF(K146&gt;0,I146,J146),0)</x:f>
        <x:v>0</x:v>
      </x:c>
      <x:c r="J147" s="61" t="n">
        <x:f>AVERAGE(H147:I147)</x:f>
        <x:v>0</x:v>
      </x:c>
      <x:c r="K147" s="73" t="n">
        <x:f>IF(AND('Inputs'!$E$56="On",SUM($X$26:$X$56)=1,$E$9&gt;0),$V$26+NPV(J147,$V$27:$V$56),0)</x:f>
        <x:v>0</x:v>
      </x:c>
      <x:c r="L147" s="2"/>
      <x:c r="M147" s="2"/>
      <x:c r="N147" s="2"/>
      <x:c r="O147" s="2"/>
      <x:c r="P147" s="2"/>
      <x:c r="Q147" s="2"/>
      <x:c r="R147" s="2"/>
      <x:c r="S147" s="2"/>
      <x:c r="T147" s="2"/>
      <x:c r="U147" s="2"/>
      <x:c r="V147" s="2"/>
      <x:c r="W147" s="2"/>
      <x:c r="X147" s="2"/>
      <x:c r="Y147" s="2"/>
      <x:c r="Z147" s="2"/>
      <x:c r="AA147" s="2"/>
      <x:c r="AB147" s="2"/>
      <x:c r="AC147" s="2"/>
      <x:c r="AD147" s="2"/>
      <x:c r="AE147" s="2"/>
    </x:row>
    <x:row r="148" ht="23" customHeight="1">
      <x:c r="C148" s="2"/>
      <x:c r="D148" s="2"/>
      <x:c r="E148" s="2"/>
      <x:c r="F148" s="2"/>
      <x:c r="G148" s="2" t="n">
        <x:v>52</x:v>
      </x:c>
      <x:c r="H148" s="72" t="n">
        <x:f>IF(AND('Inputs'!$E$56="On",SUM($X$26:$X$56)=1,$E$9&gt;0),IF(K147&gt;0,J147,H147),0)</x:f>
        <x:v>0</x:v>
      </x:c>
      <x:c r="I148" s="72" t="n">
        <x:f>IF(AND('Inputs'!$E$56="On",SUM($X$26:$X$56)=1,$E$9&gt;0),IF(K147&gt;0,I147,J147),0)</x:f>
        <x:v>0</x:v>
      </x:c>
      <x:c r="J148" s="61" t="n">
        <x:f>AVERAGE(H148:I148)</x:f>
        <x:v>0</x:v>
      </x:c>
      <x:c r="K148" s="73" t="n">
        <x:f>IF(AND('Inputs'!$E$56="On",SUM($X$26:$X$56)=1,$E$9&gt;0),$V$26+NPV(J148,$V$27:$V$56),0)</x:f>
        <x:v>0</x:v>
      </x:c>
      <x:c r="L148" s="2"/>
      <x:c r="M148" s="2"/>
      <x:c r="N148" s="2"/>
      <x:c r="O148" s="2"/>
      <x:c r="P148" s="2"/>
      <x:c r="Q148" s="2"/>
      <x:c r="R148" s="2"/>
      <x:c r="S148" s="2"/>
      <x:c r="T148" s="2"/>
      <x:c r="U148" s="2"/>
      <x:c r="V148" s="2"/>
      <x:c r="W148" s="2"/>
      <x:c r="X148" s="2"/>
      <x:c r="Y148" s="2"/>
      <x:c r="Z148" s="2"/>
      <x:c r="AA148" s="2"/>
      <x:c r="AB148" s="2"/>
      <x:c r="AC148" s="2"/>
      <x:c r="AD148" s="2"/>
      <x:c r="AE148" s="2"/>
    </x:row>
    <x:row r="149" ht="23" customHeight="1">
      <x:c r="C149" s="2"/>
      <x:c r="D149" s="2"/>
      <x:c r="E149" s="2"/>
      <x:c r="F149" s="2"/>
      <x:c r="G149" s="2" t="n">
        <x:v>53</x:v>
      </x:c>
      <x:c r="H149" s="72" t="n">
        <x:f>IF(AND('Inputs'!$E$56="On",SUM($X$26:$X$56)=1,$E$9&gt;0),IF(K148&gt;0,J148,H148),0)</x:f>
        <x:v>0</x:v>
      </x:c>
      <x:c r="I149" s="72" t="n">
        <x:f>IF(AND('Inputs'!$E$56="On",SUM($X$26:$X$56)=1,$E$9&gt;0),IF(K148&gt;0,I148,J148),0)</x:f>
        <x:v>0</x:v>
      </x:c>
      <x:c r="J149" s="61" t="n">
        <x:f>AVERAGE(H149:I149)</x:f>
        <x:v>0</x:v>
      </x:c>
      <x:c r="K149" s="73" t="n">
        <x:f>IF(AND('Inputs'!$E$56="On",SUM($X$26:$X$56)=1,$E$9&gt;0),$V$26+NPV(J149,$V$27:$V$56),0)</x:f>
        <x:v>0</x:v>
      </x:c>
      <x:c r="L149" s="2"/>
      <x:c r="M149" s="2"/>
      <x:c r="N149" s="2"/>
      <x:c r="O149" s="2"/>
      <x:c r="P149" s="2"/>
      <x:c r="Q149" s="2"/>
      <x:c r="R149" s="2"/>
      <x:c r="S149" s="2"/>
      <x:c r="T149" s="2"/>
      <x:c r="U149" s="2"/>
      <x:c r="V149" s="2"/>
      <x:c r="W149" s="2"/>
      <x:c r="X149" s="2"/>
      <x:c r="Y149" s="2"/>
      <x:c r="Z149" s="2"/>
      <x:c r="AA149" s="2"/>
      <x:c r="AB149" s="2"/>
      <x:c r="AC149" s="2"/>
      <x:c r="AD149" s="2"/>
      <x:c r="AE149" s="2"/>
    </x:row>
    <x:row r="150" ht="23" customHeight="1">
      <x:c r="C150" s="2"/>
      <x:c r="D150" s="2"/>
      <x:c r="E150" s="2"/>
      <x:c r="F150" s="2"/>
      <x:c r="G150" s="2" t="n">
        <x:v>54</x:v>
      </x:c>
      <x:c r="H150" s="72" t="n">
        <x:f>IF(AND('Inputs'!$E$56="On",SUM($X$26:$X$56)=1,$E$9&gt;0),IF(K149&gt;0,J149,H149),0)</x:f>
        <x:v>0</x:v>
      </x:c>
      <x:c r="I150" s="72" t="n">
        <x:f>IF(AND('Inputs'!$E$56="On",SUM($X$26:$X$56)=1,$E$9&gt;0),IF(K149&gt;0,I149,J149),0)</x:f>
        <x:v>0</x:v>
      </x:c>
      <x:c r="J150" s="61" t="n">
        <x:f>AVERAGE(H150:I150)</x:f>
        <x:v>0</x:v>
      </x:c>
      <x:c r="K150" s="73" t="n">
        <x:f>IF(AND('Inputs'!$E$56="On",SUM($X$26:$X$56)=1,$E$9&gt;0),$V$26+NPV(J150,$V$27:$V$56),0)</x:f>
        <x:v>0</x:v>
      </x:c>
      <x:c r="L150" s="2"/>
      <x:c r="M150" s="2"/>
      <x:c r="N150" s="2"/>
      <x:c r="O150" s="2"/>
      <x:c r="P150" s="2"/>
      <x:c r="Q150" s="2"/>
      <x:c r="R150" s="2"/>
      <x:c r="S150" s="2"/>
      <x:c r="T150" s="2"/>
      <x:c r="U150" s="2"/>
      <x:c r="V150" s="2"/>
      <x:c r="W150" s="2"/>
      <x:c r="X150" s="2"/>
      <x:c r="Y150" s="2"/>
      <x:c r="Z150" s="2"/>
      <x:c r="AA150" s="2"/>
      <x:c r="AB150" s="2"/>
      <x:c r="AC150" s="2"/>
      <x:c r="AD150" s="2"/>
      <x:c r="AE150" s="2"/>
    </x:row>
    <x:row r="151" ht="23" customHeight="1">
      <x:c r="C151" s="2"/>
      <x:c r="D151" s="2"/>
      <x:c r="E151" s="2"/>
      <x:c r="F151" s="2"/>
      <x:c r="G151" s="2" t="n">
        <x:v>55</x:v>
      </x:c>
      <x:c r="H151" s="72" t="n">
        <x:f>IF(AND('Inputs'!$E$56="On",SUM($X$26:$X$56)=1,$E$9&gt;0),IF(K150&gt;0,J150,H150),0)</x:f>
        <x:v>0</x:v>
      </x:c>
      <x:c r="I151" s="72" t="n">
        <x:f>IF(AND('Inputs'!$E$56="On",SUM($X$26:$X$56)=1,$E$9&gt;0),IF(K150&gt;0,I150,J150),0)</x:f>
        <x:v>0</x:v>
      </x:c>
      <x:c r="J151" s="61" t="n">
        <x:f>AVERAGE(H151:I151)</x:f>
        <x:v>0</x:v>
      </x:c>
      <x:c r="K151" s="73" t="n">
        <x:f>IF(AND('Inputs'!$E$56="On",SUM($X$26:$X$56)=1,$E$9&gt;0),$V$26+NPV(J151,$V$27:$V$56),0)</x:f>
        <x:v>0</x:v>
      </x:c>
      <x:c r="L151" s="2"/>
      <x:c r="M151" s="2"/>
      <x:c r="N151" s="2"/>
      <x:c r="O151" s="2"/>
      <x:c r="P151" s="2"/>
      <x:c r="Q151" s="2"/>
      <x:c r="R151" s="2"/>
      <x:c r="S151" s="2"/>
      <x:c r="T151" s="2"/>
      <x:c r="U151" s="2"/>
      <x:c r="V151" s="2"/>
      <x:c r="W151" s="2"/>
      <x:c r="X151" s="2"/>
      <x:c r="Y151" s="2"/>
      <x:c r="Z151" s="2"/>
      <x:c r="AA151" s="2"/>
      <x:c r="AB151" s="2"/>
      <x:c r="AC151" s="2"/>
      <x:c r="AD151" s="2"/>
      <x:c r="AE151" s="2"/>
    </x:row>
    <x:row r="152" ht="23" customHeight="1">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c r="AA152" s="2"/>
      <x:c r="AB152" s="2"/>
      <x:c r="AC152" s="2"/>
      <x:c r="AD152" s="2"/>
      <x:c r="AE152" s="2"/>
    </x:row>
    <x:row r="153" ht="23" customHeight="1">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c r="AA153" s="2"/>
      <x:c r="AB153" s="2"/>
      <x:c r="AC153" s="2"/>
      <x:c r="AD153" s="2"/>
      <x:c r="AE153" s="2"/>
    </x:row>
  </x:sheetData>
  <x:mergeCells>
    <x:mergeCell ref="C2:S2"/>
    <x:mergeCell ref="C4:S4"/>
    <x:mergeCell ref="L21:S22"/>
    <x:mergeCell ref="C24:S24"/>
    <x:mergeCell ref="G60:S63"/>
    <x:mergeCell ref="G65:S68"/>
    <x:mergeCell ref="G70:S73"/>
    <x:mergeCell ref="G75:S77"/>
    <x:mergeCell ref="C6:D6"/>
    <x:mergeCell ref="C9:D9"/>
    <x:mergeCell ref="C10:D10"/>
    <x:mergeCell ref="C11:D11"/>
    <x:mergeCell ref="C12:D12"/>
    <x:mergeCell ref="C13:D13"/>
    <x:mergeCell ref="C14:D14"/>
    <x:mergeCell ref="C15:D15"/>
    <x:mergeCell ref="C16:D16"/>
    <x:mergeCell ref="C17:D17"/>
    <x:mergeCell ref="C18:D18"/>
    <x:mergeCell ref="C19:D19"/>
    <x:mergeCell ref="C20:D20"/>
    <x:mergeCell ref="C21:D21"/>
    <x:mergeCell ref="C22:D22"/>
    <x:mergeCell ref="G9:I9"/>
    <x:mergeCell ref="G10:I10"/>
    <x:mergeCell ref="G12:I12"/>
    <x:mergeCell ref="G13:I13"/>
    <x:mergeCell ref="G14:I14"/>
    <x:mergeCell ref="G15:I15"/>
    <x:mergeCell ref="G16:I16"/>
    <x:mergeCell ref="G17:I17"/>
    <x:mergeCell ref="G18:I18"/>
    <x:mergeCell ref="G19:I19"/>
    <x:mergeCell ref="G21:I21"/>
    <x:mergeCell ref="L9:N9"/>
    <x:mergeCell ref="L10:N10"/>
    <x:mergeCell ref="L11:N11"/>
    <x:mergeCell ref="L12:N12"/>
    <x:mergeCell ref="L13:N13"/>
    <x:mergeCell ref="L14:N14"/>
    <x:mergeCell ref="L15:N15"/>
    <x:mergeCell ref="L17:N17"/>
    <x:mergeCell ref="L18:N18"/>
    <x:mergeCell ref="L19:N19"/>
    <x:mergeCell ref="C60:D60"/>
    <x:mergeCell ref="C61:D61"/>
    <x:mergeCell ref="C62:D62"/>
    <x:mergeCell ref="C63:D63"/>
    <x:mergeCell ref="C64:D64"/>
    <x:mergeCell ref="C65:D65"/>
    <x:mergeCell ref="C66:D66"/>
    <x:mergeCell ref="C67:D67"/>
    <x:mergeCell ref="C68:D68"/>
    <x:mergeCell ref="C69:D69"/>
    <x:mergeCell ref="C70:D70"/>
    <x:mergeCell ref="C71:D71"/>
    <x:mergeCell ref="C72:D72"/>
    <x:mergeCell ref="C73:D73"/>
    <x:mergeCell ref="C74:D74"/>
    <x:mergeCell ref="C75:D75"/>
    <x:mergeCell ref="C77:D77"/>
    <x:mergeCell ref="C78:D78"/>
    <x:mergeCell ref="C80:D80"/>
    <x:mergeCell ref="C81:D81"/>
    <x:mergeCell ref="C82:D82"/>
  </x:mergeCells>
  <x:conditionalFormatting sqref="J21:J21">
    <x:cfRule type="containsText" dxfId="7" priority="1" operator="containsText" text="Needs Attention"/>
    <x:cfRule type="containsText" dxfId="8" priority="2" operator="containsText" text="Moderate"/>
    <x:cfRule type="containsText" dxfId="9" priority="3" operator="containsText" text="Stronger"/>
  </x:conditionalFormatting>
  <x:conditionalFormatting sqref="V27:V56">
    <x:cfRule type="expression" dxfId="10" priority="4">
      <x:formula>U27=""</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200000047683716" hidden="0" customWidth="1"/>
    <x:col min="2" max="2" width="2.200000047683716" hidden="0" customWidth="1"/>
    <x:col min="3" max="3" width="44" hidden="0" customWidth="1"/>
    <x:col min="4" max="4" width="2" hidden="0" customWidth="1"/>
    <x:col min="5" max="5" width="19" hidden="0" customWidth="1"/>
    <x:col min="6" max="6" width="2"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s>
  <x:sheetData>
    <x:row r="2" ht="31" customHeight="1">
      <x:c r="C2" s="3" t="str">
        <x:v>Model checks</x:v>
      </x:c>
      <x:c r="D2" s="3"/>
      <x:c r="E2" s="3"/>
      <x:c r="F2" s="3"/>
      <x:c r="G2" s="3"/>
      <x:c r="H2" s="3"/>
      <x:c r="I2" s="3"/>
      <x:c r="J2" s="3"/>
      <x:c r="K2" s="3"/>
      <x:c r="L2" s="2"/>
      <x:c r="M2" s="2"/>
      <x:c r="N2" s="2"/>
      <x:c r="O2" s="2"/>
    </x:row>
    <x:row r="3" ht="23" customHeight="1">
      <x:c r="C3" s="4"/>
      <x:c r="D3" s="4"/>
      <x:c r="E3" s="4"/>
      <x:c r="F3" s="4"/>
      <x:c r="G3" s="4"/>
      <x:c r="H3" s="4"/>
      <x:c r="I3" s="4"/>
      <x:c r="J3" s="4"/>
      <x:c r="K3" s="4"/>
      <x:c r="L3" s="2"/>
      <x:c r="M3" s="2"/>
      <x:c r="N3" s="2"/>
      <x:c r="O3" s="2"/>
    </x:row>
    <x:row r="4" ht="29" customHeight="1">
      <x:c r="C4" s="6" t="str">
        <x:v>Live reconciliations observe the model. Differences should be 0.00. Blank or n.a. denotes an inactive or inapplicable test.</x:v>
      </x:c>
      <x:c r="D4" s="6"/>
      <x:c r="E4" s="6"/>
      <x:c r="F4" s="6"/>
      <x:c r="G4" s="6"/>
      <x:c r="H4" s="6"/>
      <x:c r="I4" s="6"/>
      <x:c r="J4" s="6"/>
      <x:c r="K4" s="6"/>
      <x:c r="L4" s="2"/>
      <x:c r="M4" s="2"/>
      <x:c r="N4" s="2"/>
      <x:c r="O4" s="2"/>
    </x:row>
    <x:row r="5" ht="23" customHeight="1">
      <x:c r="C5" s="2"/>
      <x:c r="D5" s="2"/>
      <x:c r="E5" s="2"/>
      <x:c r="F5" s="2"/>
      <x:c r="G5" s="2"/>
      <x:c r="H5" s="2"/>
      <x:c r="I5" s="2"/>
      <x:c r="J5" s="2"/>
      <x:c r="K5" s="2"/>
      <x:c r="L5" s="2"/>
      <x:c r="M5" s="2"/>
      <x:c r="N5" s="2"/>
      <x:c r="O5" s="2"/>
    </x:row>
    <x:row r="6" ht="28" customHeight="1">
      <x:c r="C6" s="15" t="str">
        <x:v>Reconciliation</x:v>
      </x:c>
      <x:c r="D6" s="16" t="str"/>
      <x:c r="E6" s="17" t="str">
        <x:v>Difference</x:v>
      </x:c>
      <x:c r="F6" s="2"/>
      <x:c r="G6" s="15" t="str">
        <x:v>Explanation</x:v>
      </x:c>
      <x:c r="H6" s="16" t="str"/>
      <x:c r="I6" s="16" t="str"/>
      <x:c r="J6" s="16" t="str"/>
      <x:c r="K6" s="17" t="str"/>
      <x:c r="L6" s="2"/>
      <x:c r="M6" s="2"/>
      <x:c r="N6" s="2"/>
      <x:c r="O6" s="2"/>
    </x:row>
    <x:row r="7" ht="30" customHeight="1">
      <x:c r="C7" s="2" t="str">
        <x:v>Acquisition funding ties</x:v>
      </x:c>
      <x:c r="D7" s="2"/>
      <x:c r="E7" s="84" t="n">
        <x:f>'Property Model'!E12-SUM('Property Model'!E13:E14)</x:f>
        <x:v>0</x:v>
      </x:c>
      <x:c r="F7" s="2"/>
      <x:c r="G7" s="6" t="str">
        <x:v>Total cash uses = loan + initial equity.</x:v>
      </x:c>
      <x:c r="H7" s="6"/>
      <x:c r="I7" s="6"/>
      <x:c r="J7" s="6"/>
      <x:c r="K7" s="6"/>
      <x:c r="L7" s="2"/>
      <x:c r="M7" s="2"/>
      <x:c r="N7" s="2"/>
      <x:c r="O7" s="2"/>
    </x:row>
    <x:row r="8" ht="30" customHeight="1">
      <x:c r="C8" s="2" t="str">
        <x:v>Year 1 NOI ties</x:v>
      </x:c>
      <x:c r="D8" s="2"/>
      <x:c r="E8" s="84" t="n">
        <x:f>'Property Model'!E29-'Annual Projection'!I10</x:f>
        <x:v>0</x:v>
      </x:c>
      <x:c r="F8" s="2"/>
      <x:c r="G8" s="6" t="str">
        <x:v>Detailed operating build agrees with annual schedule.</x:v>
      </x:c>
      <x:c r="H8" s="6"/>
      <x:c r="I8" s="6"/>
      <x:c r="J8" s="6"/>
      <x:c r="K8" s="6"/>
      <x:c r="L8" s="2"/>
      <x:c r="M8" s="2"/>
      <x:c r="N8" s="2"/>
      <x:c r="O8" s="2"/>
    </x:row>
    <x:row r="9" ht="30" customHeight="1">
      <x:c r="C9" s="2" t="str">
        <x:v>Year 1 cash flow ties</x:v>
      </x:c>
      <x:c r="D9" s="2"/>
      <x:c r="E9" s="84" t="n">
        <x:f>'Property Model'!E34-('Annual Projection'!N10+'Annual Projection'!M10)</x:f>
        <x:v>0</x:v>
      </x:c>
      <x:c r="F9" s="2"/>
      <x:c r="G9" s="6" t="str">
        <x:v>Dashboard cash flow excludes a year 1 maturity balloon.</x:v>
      </x:c>
      <x:c r="H9" s="6"/>
      <x:c r="I9" s="6"/>
      <x:c r="J9" s="6"/>
      <x:c r="K9" s="6"/>
      <x:c r="L9" s="2"/>
      <x:c r="M9" s="2"/>
      <x:c r="N9" s="2"/>
      <x:c r="O9" s="2"/>
    </x:row>
    <x:row r="10" ht="30" customHeight="1">
      <x:c r="C10" s="2" t="str">
        <x:v>Debt roll-forward ties</x:v>
      </x:c>
      <x:c r="D10" s="2"/>
      <x:c r="E10" s="84" t="n">
        <x:f>'Property Model'!E13-SUM('Annual Projection'!Q10:Q39)-SUM('Annual Projection'!M10:M39)-'Property Model'!E46</x:f>
        <x:v>0</x:v>
      </x:c>
      <x:c r="F10" s="2"/>
      <x:c r="G10" s="6" t="str">
        <x:v>Beginning loan = amortization + balloons + loan at sale.</x:v>
      </x:c>
      <x:c r="H10" s="6"/>
      <x:c r="I10" s="6"/>
      <x:c r="J10" s="6"/>
      <x:c r="K10" s="6"/>
      <x:c r="L10" s="2"/>
      <x:c r="M10" s="2"/>
      <x:c r="N10" s="2"/>
      <x:c r="O10" s="2"/>
    </x:row>
    <x:row r="11" ht="30" customHeight="1">
      <x:c r="C11" s="2" t="str">
        <x:v>Owner profit reconciles</x:v>
      </x:c>
      <x:c r="D11" s="2"/>
      <x:c r="E11" s="84" t="n">
        <x:f>'Property Model'!E57-SUM('Property Model'!K8:K38)</x:f>
        <x:v>7.275957614183426e-12</x:v>
      </x:c>
      <x:c r="F11" s="2"/>
      <x:c r="G11" s="6" t="str">
        <x:v>Gross distributions less all contributions = net cash-flow profit.</x:v>
      </x:c>
      <x:c r="H11" s="6"/>
      <x:c r="I11" s="6"/>
      <x:c r="J11" s="6"/>
      <x:c r="K11" s="6"/>
      <x:c r="L11" s="2"/>
      <x:c r="M11" s="2"/>
      <x:c r="N11" s="2"/>
      <x:c r="O11" s="2"/>
    </x:row>
    <x:row r="12" ht="30" customHeight="1">
      <x:c r="C12" s="2" t="str">
        <x:v>Exit proceeds reconcile</x:v>
      </x:c>
      <x:c r="D12" s="2"/>
      <x:c r="E12" s="84" t="n">
        <x:f>'Property Model'!E48-('Property Model'!E43-SUM('Property Model'!E44:E47))</x:f>
        <x:v>0</x:v>
      </x:c>
      <x:c r="F12" s="2"/>
      <x:c r="G12" s="6" t="str">
        <x:v>Sale costs, loan payoff and selected sponsor fee deducted once.</x:v>
      </x:c>
      <x:c r="H12" s="6"/>
      <x:c r="I12" s="6"/>
      <x:c r="J12" s="6"/>
      <x:c r="K12" s="6"/>
      <x:c r="L12" s="2"/>
      <x:c r="M12" s="2"/>
      <x:c r="N12" s="2"/>
      <x:c r="O12" s="2"/>
    </x:row>
    <x:row r="13" ht="30" customHeight="1">
      <x:c r="C13" s="2" t="str">
        <x:v>Owner equity reconciles</x:v>
      </x:c>
      <x:c r="D13" s="2"/>
      <x:c r="E13" s="84" t="n">
        <x:f>'Property Model'!E51-('Property Model'!E43-'Property Model'!E16+'Property Model'!E50)</x:f>
        <x:v>0</x:v>
      </x:c>
      <x:c r="F13" s="2"/>
      <x:c r="G13" s="6" t="str">
        <x:v>Equity increase = valuation change + all principal retired.</x:v>
      </x:c>
      <x:c r="H13" s="6"/>
      <x:c r="I13" s="6"/>
      <x:c r="J13" s="6"/>
      <x:c r="K13" s="6"/>
      <x:c r="L13" s="2"/>
      <x:c r="M13" s="2"/>
      <x:c r="N13" s="2"/>
      <x:c r="O13" s="2"/>
    </x:row>
    <x:row r="14" ht="23" customHeight="1">
      <x:c r="C14" s="2"/>
      <x:c r="D14" s="2"/>
      <x:c r="E14" s="2"/>
      <x:c r="F14" s="2"/>
      <x:c r="G14" s="2"/>
      <x:c r="H14" s="2"/>
      <x:c r="I14" s="2"/>
      <x:c r="J14" s="2"/>
      <x:c r="K14" s="2"/>
      <x:c r="L14" s="2"/>
      <x:c r="M14" s="2"/>
      <x:c r="N14" s="2"/>
      <x:c r="O14" s="2"/>
    </x:row>
    <x:row r="15" ht="30" customHeight="1">
      <x:c r="C15" s="2" t="str">
        <x:v>LP / GP initial funding ties</x:v>
      </x:c>
      <x:c r="D15" s="2"/>
      <x:c r="E15" s="84" t="str">
        <x:f>IF('Inputs'!$E$56="On",SUM('Investor Returns'!E9:E10)-'Property Model'!E14,"n.a.")</x:f>
        <x:v>n.a.</x:v>
      </x:c>
      <x:c r="F15" s="2"/>
      <x:c r="G15" s="6" t="str">
        <x:v>LP and GP fund the entire initial equity requirement.</x:v>
      </x:c>
      <x:c r="H15" s="6"/>
      <x:c r="I15" s="6"/>
      <x:c r="J15" s="6"/>
      <x:c r="K15" s="6"/>
      <x:c r="L15" s="2"/>
      <x:c r="M15" s="2"/>
      <x:c r="N15" s="2"/>
      <x:c r="O15" s="2"/>
    </x:row>
    <x:row r="16" ht="30" customHeight="1">
      <x:c r="C16" s="2" t="str">
        <x:v>Operating cash allocation ties</x:v>
      </x:c>
      <x:c r="D16" s="2"/>
      <x:c r="E16" s="84" t="str">
        <x:f>IF('Inputs'!$E$56="On",SUM('Investor Returns'!R27:S56)-SUM('Investor Returns'!J27:J56),"n.a.")</x:f>
        <x:v>n.a.</x:v>
      </x:c>
      <x:c r="F16" s="2"/>
      <x:c r="G16" s="6" t="str">
        <x:v>Preferred and residual distributions cannot exceed positive cash.</x:v>
      </x:c>
      <x:c r="H16" s="6"/>
      <x:c r="I16" s="6"/>
      <x:c r="J16" s="6"/>
      <x:c r="K16" s="6"/>
      <x:c r="L16" s="2"/>
      <x:c r="M16" s="2"/>
      <x:c r="N16" s="2"/>
      <x:c r="O16" s="2"/>
    </x:row>
    <x:row r="17" ht="30" customHeight="1">
      <x:c r="C17" s="2" t="str">
        <x:v>Operating capital calls tie</x:v>
      </x:c>
      <x:c r="D17" s="2"/>
      <x:c r="E17" s="84" t="str">
        <x:f>IF('Inputs'!$E$56="On",SUM('Investor Returns'!E27:F56)-SUM('Property Model'!N9:N38)+MAX(0,-'Property Model'!E48),"n.a.")</x:f>
        <x:v>n.a.</x:v>
      </x:c>
      <x:c r="F17" s="2"/>
      <x:c r="G17" s="6" t="str">
        <x:v>LP/GP calls fund all negative operating cash flow.</x:v>
      </x:c>
      <x:c r="H17" s="6"/>
      <x:c r="I17" s="6"/>
      <x:c r="J17" s="6"/>
      <x:c r="K17" s="6"/>
      <x:c r="L17" s="2"/>
      <x:c r="M17" s="2"/>
      <x:c r="N17" s="2"/>
      <x:c r="O17" s="2"/>
    </x:row>
    <x:row r="18" ht="30" customHeight="1">
      <x:c r="C18" s="2" t="str">
        <x:v>Sale cash allocation ties</x:v>
      </x:c>
      <x:c r="D18" s="2"/>
      <x:c r="E18" s="84" t="str">
        <x:f>IF('Inputs'!$E$56="On",SUM('Investor Returns'!E77:E78)-MAX(0,'Property Model'!E48),"n.a.")</x:f>
        <x:v>n.a.</x:v>
      </x:c>
      <x:c r="F18" s="2"/>
      <x:c r="G18" s="6" t="str">
        <x:v>Preference + capital return + residual profit uses sale cash.</x:v>
      </x:c>
      <x:c r="H18" s="6"/>
      <x:c r="I18" s="6"/>
      <x:c r="J18" s="6"/>
      <x:c r="K18" s="6"/>
      <x:c r="L18" s="2"/>
      <x:c r="M18" s="2"/>
      <x:c r="N18" s="2"/>
      <x:c r="O18" s="2"/>
    </x:row>
    <x:row r="19" ht="30" customHeight="1">
      <x:c r="C19" s="2" t="str">
        <x:v>Sale shortfall funding ties</x:v>
      </x:c>
      <x:c r="D19" s="2"/>
      <x:c r="E19" s="84" t="str">
        <x:f>IF('Inputs'!$E$56="On",SUM('Investor Returns'!E65:E66)-MAX(0,-'Property Model'!E48),"n.a.")</x:f>
        <x:v>n.a.</x:v>
      </x:c>
      <x:c r="F19" s="2"/>
      <x:c r="G19" s="6" t="str">
        <x:v>Negative sale proceeds are funded, not silently floored away.</x:v>
      </x:c>
      <x:c r="H19" s="6"/>
      <x:c r="I19" s="6"/>
      <x:c r="J19" s="6"/>
      <x:c r="K19" s="6"/>
      <x:c r="L19" s="2"/>
      <x:c r="M19" s="2"/>
      <x:c r="N19" s="2"/>
      <x:c r="O19" s="2"/>
    </x:row>
    <x:row r="20" ht="30" customHeight="1">
      <x:c r="C20" s="2" t="str">
        <x:v>Pooled investor capital ties</x:v>
      </x:c>
      <x:c r="D20" s="2"/>
      <x:c r="E20" s="84" t="str">
        <x:f>IF('Inputs'!$E$56="On",SUM('Investor Returns'!E15,'Investor Returns'!O9)-'Property Model'!E54,"n.a.")</x:f>
        <x:v>n.a.</x:v>
      </x:c>
      <x:c r="F20" s="2"/>
      <x:c r="G20" s="6" t="str">
        <x:v>LP/GP contributions equal property equity contributions.</x:v>
      </x:c>
      <x:c r="H20" s="6"/>
      <x:c r="I20" s="6"/>
      <x:c r="J20" s="6"/>
      <x:c r="K20" s="6"/>
      <x:c r="L20" s="2"/>
      <x:c r="M20" s="2"/>
      <x:c r="N20" s="2"/>
      <x:c r="O20" s="2"/>
    </x:row>
    <x:row r="21" ht="30" customHeight="1">
      <x:c r="C21" s="2" t="str">
        <x:v>Pooled distributions tie</x:v>
      </x:c>
      <x:c r="D21" s="2"/>
      <x:c r="E21" s="84" t="str">
        <x:f>IF('Inputs'!$E$56="On",SUM('Investor Returns'!E18,'Investor Returns'!O12)-'Property Model'!E56,"n.a.")</x:f>
        <x:v>n.a.</x:v>
      </x:c>
      <x:c r="F21" s="2"/>
      <x:c r="G21" s="6" t="str">
        <x:v>LP/GP distributions equal the modeled property cash out.</x:v>
      </x:c>
      <x:c r="H21" s="6"/>
      <x:c r="I21" s="6"/>
      <x:c r="J21" s="6"/>
      <x:c r="K21" s="6"/>
      <x:c r="L21" s="2"/>
      <x:c r="M21" s="2"/>
      <x:c r="N21" s="2"/>
      <x:c r="O21" s="2"/>
    </x:row>
    <x:row r="22" ht="30" customHeight="1">
      <x:c r="C22" s="2" t="str">
        <x:v>Pooled investor profit ties</x:v>
      </x:c>
      <x:c r="D22" s="2"/>
      <x:c r="E22" s="84" t="str">
        <x:f>IF('Inputs'!$E$56="On",SUM('Investor Returns'!E19,'Investor Returns'!O13)-'Property Model'!E57,"n.a.")</x:f>
        <x:v>n.a.</x:v>
      </x:c>
      <x:c r="F22" s="2"/>
      <x:c r="G22" s="6" t="str">
        <x:v>Sponsor fee income is separate from GP equity profit.</x:v>
      </x:c>
      <x:c r="H22" s="6"/>
      <x:c r="I22" s="6"/>
      <x:c r="J22" s="6"/>
      <x:c r="K22" s="6"/>
      <x:c r="L22" s="2"/>
      <x:c r="M22" s="2"/>
      <x:c r="N22" s="2"/>
      <x:c r="O22" s="2"/>
    </x:row>
    <x:row r="23" ht="30" customHeight="1">
      <x:c r="C23" s="2" t="str">
        <x:v>Preferred return accrual ties</x:v>
      </x:c>
      <x:c r="D23" s="2"/>
      <x:c r="E23" s="84" t="str">
        <x:f>IF('Inputs'!$E$56="On",SUM('Investor Returns'!I27:I56)-SUM('Investor Returns'!K27:K56)-'Investor Returns'!E68-'Investor Returns'!E80,"n.a.")</x:f>
        <x:v>n.a.</x:v>
      </x:c>
      <x:c r="F23" s="2"/>
      <x:c r="G23" s="6" t="str">
        <x:v>All earned preference is either paid or remains unpaid.</x:v>
      </x:c>
      <x:c r="H23" s="6"/>
      <x:c r="I23" s="6"/>
      <x:c r="J23" s="6"/>
      <x:c r="K23" s="6"/>
      <x:c r="L23" s="2"/>
      <x:c r="M23" s="2"/>
      <x:c r="N23" s="2"/>
      <x:c r="O23" s="2"/>
    </x:row>
    <x:row r="24" ht="30" customHeight="1">
      <x:c r="C24" s="2" t="str">
        <x:v>LP capital return ties</x:v>
      </x:c>
      <x:c r="D24" s="2"/>
      <x:c r="E24" s="84" t="str">
        <x:f>IF('Inputs'!$E$56="On",'Investor Returns'!E15-'Investor Returns'!E71-'Investor Returns'!E81,"n.a.")</x:f>
        <x:v>n.a.</x:v>
      </x:c>
      <x:c r="F24" s="2"/>
      <x:c r="G24" s="6" t="str">
        <x:v>LP contributed capital equals returned plus unrecovered capital.</x:v>
      </x:c>
      <x:c r="H24" s="6"/>
      <x:c r="I24" s="6"/>
      <x:c r="J24" s="6"/>
      <x:c r="K24" s="6"/>
      <x:c r="L24" s="2"/>
      <x:c r="M24" s="2"/>
      <x:c r="N24" s="2"/>
      <x:c r="O24" s="2"/>
    </x:row>
    <x:row r="25" ht="30" customHeight="1">
      <x:c r="C25" s="2" t="str">
        <x:v>GP capital return ties</x:v>
      </x:c>
      <x:c r="D25" s="2"/>
      <x:c r="E25" s="84" t="str">
        <x:f>IF('Inputs'!$E$56="On",'Investor Returns'!O9-'Investor Returns'!E72-'Investor Returns'!E82,"n.a.")</x:f>
        <x:v>n.a.</x:v>
      </x:c>
      <x:c r="F25" s="2"/>
      <x:c r="G25" s="6" t="str">
        <x:v>GP contributed capital equals returned plus unrecovered capital.</x:v>
      </x:c>
      <x:c r="H25" s="6"/>
      <x:c r="I25" s="6"/>
      <x:c r="J25" s="6"/>
      <x:c r="K25" s="6"/>
      <x:c r="L25" s="2"/>
      <x:c r="M25" s="2"/>
      <x:c r="N25" s="2"/>
      <x:c r="O25" s="2"/>
    </x:row>
    <x:row r="26" ht="23" customHeight="1">
      <x:c r="C26" s="2"/>
      <x:c r="D26" s="2"/>
      <x:c r="E26" s="2"/>
      <x:c r="F26" s="2"/>
      <x:c r="G26" s="2"/>
      <x:c r="H26" s="2"/>
      <x:c r="I26" s="2"/>
      <x:c r="J26" s="2"/>
      <x:c r="K26" s="2"/>
      <x:c r="L26" s="2"/>
      <x:c r="M26" s="2"/>
      <x:c r="N26" s="2"/>
      <x:c r="O26" s="2"/>
    </x:row>
    <x:row r="27" ht="23" customHeight="1">
      <x:c r="C27" s="2"/>
      <x:c r="D27" s="2"/>
      <x:c r="E27" s="2"/>
      <x:c r="F27" s="2"/>
      <x:c r="G27" s="2"/>
      <x:c r="H27" s="2"/>
      <x:c r="I27" s="2"/>
      <x:c r="J27" s="2"/>
      <x:c r="K27" s="2"/>
      <x:c r="L27" s="2"/>
      <x:c r="M27" s="2"/>
      <x:c r="N27" s="2"/>
      <x:c r="O27" s="2"/>
    </x:row>
    <x:row r="28" ht="24" customHeight="1">
      <x:c r="C28" s="2"/>
      <x:c r="D28" s="2"/>
      <x:c r="E28" s="2"/>
      <x:c r="F28" s="2"/>
      <x:c r="G28" s="8" t="str">
        <x:v>Debt integrity by year</x:v>
      </x:c>
      <x:c r="H28" s="8"/>
      <x:c r="I28" s="8"/>
      <x:c r="J28" s="8"/>
      <x:c r="K28" s="8"/>
      <x:c r="L28" s="8"/>
      <x:c r="M28" s="8"/>
      <x:c r="N28" s="8"/>
      <x:c r="O28" s="8"/>
    </x:row>
    <x:row r="29" ht="46" customHeight="1">
      <x:c r="C29" s="2"/>
      <x:c r="D29" s="2"/>
      <x:c r="E29" s="2"/>
      <x:c r="F29" s="2"/>
      <x:c r="G29" s="15" t="str">
        <x:v>Year</x:v>
      </x:c>
      <x:c r="H29" s="16" t="str">
        <x:v>Debt balance tie</x:v>
      </x:c>
      <x:c r="I29" s="16" t="str">
        <x:v>Interest tie</x:v>
      </x:c>
      <x:c r="J29" s="16" t="str">
        <x:v>Negative debt</x:v>
      </x:c>
      <x:c r="K29" s="16" t="str">
        <x:v>Negative interest</x:v>
      </x:c>
      <x:c r="L29" s="16" t="str">
        <x:v>Loan before balloon</x:v>
      </x:c>
      <x:c r="M29" s="16" t="str">
        <x:v>Ending loan</x:v>
      </x:c>
      <x:c r="N29" s="16" t="str">
        <x:v>Principal retired</x:v>
      </x:c>
      <x:c r="O29" s="17" t="str">
        <x:v>Balloon paid</x:v>
      </x:c>
    </x:row>
    <x:row r="30" ht="23" customHeight="1">
      <x:c r="C30" s="2"/>
      <x:c r="D30" s="2"/>
      <x:c r="E30" s="2"/>
      <x:c r="F30" s="2"/>
      <x:c r="G30" s="2" t="n">
        <x:f>IF(1&lt;='Inputs'!$E$45,1,"")</x:f>
        <x:v>1</x:v>
      </x:c>
      <x:c r="H30" s="60" t="n">
        <x:f>IF(G30="","",'Annual Projection'!O10-SUM('Annual Projection'!Q10,'Annual Projection'!M10,'Annual Projection'!R10))</x:f>
        <x:v>0</x:v>
      </x:c>
      <x:c r="I30" s="60" t="n">
        <x:f>IF(G30="","",'Annual Projection'!L10-SUM('Annual Projection'!Q10,'Annual Projection'!U10))</x:f>
        <x:v>0</x:v>
      </x:c>
      <x:c r="J30" s="60" t="n">
        <x:f>IF(G30="","",MIN(0,'Annual Projection'!R10))</x:f>
        <x:v>0</x:v>
      </x:c>
      <x:c r="K30" s="60" t="n">
        <x:f>IF(G30="","",MIN(0,'Annual Projection'!U10))</x:f>
        <x:v>0</x:v>
      </x:c>
      <x:c r="L30" s="34" t="n">
        <x:f>IF(G30="","",'Annual Projection'!P10)</x:f>
        <x:v>204722.46207509833</x:v>
      </x:c>
      <x:c r="M30" s="34" t="n">
        <x:f>IF(G30="","",'Annual Projection'!R10)</x:f>
        <x:v>204722.46207509833</x:v>
      </x:c>
      <x:c r="N30" s="34" t="n">
        <x:f>IF(G30="","",'Annual Projection'!Q10)</x:f>
        <x:v>4182.53792490167</x:v>
      </x:c>
      <x:c r="O30" s="34" t="n">
        <x:f>IF(G30="","",'Annual Projection'!M10)</x:f>
        <x:v>0</x:v>
      </x:c>
    </x:row>
    <x:row r="31" ht="23" customHeight="1">
      <x:c r="C31" s="2"/>
      <x:c r="D31" s="2"/>
      <x:c r="E31" s="2"/>
      <x:c r="F31" s="2"/>
      <x:c r="G31" s="2" t="n">
        <x:f>IF(2&lt;='Inputs'!$E$45,2,"")</x:f>
        <x:v>2</x:v>
      </x:c>
      <x:c r="H31" s="60" t="n">
        <x:f>IF(G31="","",'Annual Projection'!O11-SUM('Annual Projection'!Q11,'Annual Projection'!M11,'Annual Projection'!R11))</x:f>
        <x:v>0</x:v>
      </x:c>
      <x:c r="I31" s="60" t="n">
        <x:f>IF(G31="","",'Annual Projection'!L11-SUM('Annual Projection'!Q11,'Annual Projection'!U11))</x:f>
        <x:v>0</x:v>
      </x:c>
      <x:c r="J31" s="60" t="n">
        <x:f>IF(G31="","",MIN(0,'Annual Projection'!R11))</x:f>
        <x:v>0</x:v>
      </x:c>
      <x:c r="K31" s="60" t="n">
        <x:f>IF(G31="","",MIN(0,'Annual Projection'!U11))</x:f>
        <x:v>0</x:v>
      </x:c>
      <x:c r="L31" s="34" t="n">
        <x:f>IF(G31="","",'Annual Projection'!P11)</x:f>
        <x:v>200401.9484484628</x:v>
      </x:c>
      <x:c r="M31" s="34" t="n">
        <x:f>IF(G31="","",'Annual Projection'!R11)</x:f>
        <x:v>200401.9484484628</x:v>
      </x:c>
      <x:c r="N31" s="34" t="n">
        <x:f>IF(G31="","",'Annual Projection'!Q11)</x:f>
        <x:v>4320.51362663554</x:v>
      </x:c>
      <x:c r="O31" s="34" t="n">
        <x:f>IF(G31="","",'Annual Projection'!M11)</x:f>
        <x:v>0</x:v>
      </x:c>
    </x:row>
    <x:row r="32" ht="23" customHeight="1">
      <x:c r="C32" s="2"/>
      <x:c r="D32" s="2"/>
      <x:c r="E32" s="2"/>
      <x:c r="F32" s="2"/>
      <x:c r="G32" s="2" t="n">
        <x:f>IF(3&lt;='Inputs'!$E$45,3,"")</x:f>
        <x:v>3</x:v>
      </x:c>
      <x:c r="H32" s="60" t="n">
        <x:f>IF(G32="","",'Annual Projection'!O12-SUM('Annual Projection'!Q12,'Annual Projection'!M12,'Annual Projection'!R12))</x:f>
        <x:v>0</x:v>
      </x:c>
      <x:c r="I32" s="60" t="n">
        <x:f>IF(G32="","",'Annual Projection'!L12-SUM('Annual Projection'!Q12,'Annual Projection'!U12))</x:f>
        <x:v>0</x:v>
      </x:c>
      <x:c r="J32" s="60" t="n">
        <x:f>IF(G32="","",MIN(0,'Annual Projection'!R12))</x:f>
        <x:v>0</x:v>
      </x:c>
      <x:c r="K32" s="60" t="n">
        <x:f>IF(G32="","",MIN(0,'Annual Projection'!U12))</x:f>
        <x:v>0</x:v>
      </x:c>
      <x:c r="L32" s="34" t="n">
        <x:f>IF(G32="","",'Annual Projection'!P12)</x:f>
        <x:v>195938.90750702718</x:v>
      </x:c>
      <x:c r="M32" s="34" t="n">
        <x:f>IF(G32="","",'Annual Projection'!R12)</x:f>
        <x:v>195938.90750702718</x:v>
      </x:c>
      <x:c r="N32" s="34" t="n">
        <x:f>IF(G32="","",'Annual Projection'!Q12)</x:f>
        <x:v>4463.040941435611</x:v>
      </x:c>
      <x:c r="O32" s="34" t="n">
        <x:f>IF(G32="","",'Annual Projection'!M12)</x:f>
        <x:v>0</x:v>
      </x:c>
    </x:row>
    <x:row r="33" ht="23" customHeight="1">
      <x:c r="C33" s="2"/>
      <x:c r="D33" s="2"/>
      <x:c r="E33" s="2"/>
      <x:c r="F33" s="2"/>
      <x:c r="G33" s="2" t="n">
        <x:f>IF(4&lt;='Inputs'!$E$45,4,"")</x:f>
        <x:v>4</x:v>
      </x:c>
      <x:c r="H33" s="60" t="n">
        <x:f>IF(G33="","",'Annual Projection'!O13-SUM('Annual Projection'!Q13,'Annual Projection'!M13,'Annual Projection'!R13))</x:f>
        <x:v>0</x:v>
      </x:c>
      <x:c r="I33" s="60" t="n">
        <x:f>IF(G33="","",'Annual Projection'!L13-SUM('Annual Projection'!Q13,'Annual Projection'!U13))</x:f>
        <x:v>0</x:v>
      </x:c>
      <x:c r="J33" s="60" t="n">
        <x:f>IF(G33="","",MIN(0,'Annual Projection'!R13))</x:f>
        <x:v>0</x:v>
      </x:c>
      <x:c r="K33" s="60" t="n">
        <x:f>IF(G33="","",MIN(0,'Annual Projection'!U13))</x:f>
        <x:v>0</x:v>
      </x:c>
      <x:c r="L33" s="34" t="n">
        <x:f>IF(G33="","",'Annual Projection'!P13)</x:f>
        <x:v>191328.63748678387</x:v>
      </x:c>
      <x:c r="M33" s="34" t="n">
        <x:f>IF(G33="","",'Annual Projection'!R13)</x:f>
        <x:v>191328.63748678387</x:v>
      </x:c>
      <x:c r="N33" s="34" t="n">
        <x:f>IF(G33="","",'Annual Projection'!Q13)</x:f>
        <x:v>4610.270020243304</x:v>
      </x:c>
      <x:c r="O33" s="34" t="n">
        <x:f>IF(G33="","",'Annual Projection'!M13)</x:f>
        <x:v>0</x:v>
      </x:c>
    </x:row>
    <x:row r="34" ht="23" customHeight="1">
      <x:c r="C34" s="2"/>
      <x:c r="D34" s="2"/>
      <x:c r="E34" s="2"/>
      <x:c r="F34" s="2"/>
      <x:c r="G34" s="2" t="n">
        <x:f>IF(5&lt;='Inputs'!$E$45,5,"")</x:f>
        <x:v>5</x:v>
      </x:c>
      <x:c r="H34" s="60" t="n">
        <x:f>IF(G34="","",'Annual Projection'!O14-SUM('Annual Projection'!Q14,'Annual Projection'!M14,'Annual Projection'!R14))</x:f>
        <x:v>0</x:v>
      </x:c>
      <x:c r="I34" s="60" t="n">
        <x:f>IF(G34="","",'Annual Projection'!L14-SUM('Annual Projection'!Q14,'Annual Projection'!U14))</x:f>
        <x:v>0</x:v>
      </x:c>
      <x:c r="J34" s="60" t="n">
        <x:f>IF(G34="","",MIN(0,'Annual Projection'!R14))</x:f>
        <x:v>0</x:v>
      </x:c>
      <x:c r="K34" s="60" t="n">
        <x:f>IF(G34="","",MIN(0,'Annual Projection'!U14))</x:f>
        <x:v>0</x:v>
      </x:c>
      <x:c r="L34" s="34" t="n">
        <x:f>IF(G34="","",'Annual Projection'!P14)</x:f>
        <x:v>186566.28151952778</x:v>
      </x:c>
      <x:c r="M34" s="34" t="n">
        <x:f>IF(G34="","",'Annual Projection'!R14)</x:f>
        <x:v>186566.28151952778</x:v>
      </x:c>
      <x:c r="N34" s="34" t="n">
        <x:f>IF(G34="","",'Annual Projection'!Q14)</x:f>
        <x:v>4762.355967256095</x:v>
      </x:c>
      <x:c r="O34" s="34" t="n">
        <x:f>IF(G34="","",'Annual Projection'!M14)</x:f>
        <x:v>0</x:v>
      </x:c>
    </x:row>
    <x:row r="35" ht="23" customHeight="1">
      <x:c r="C35" s="2"/>
      <x:c r="D35" s="2"/>
      <x:c r="E35" s="2"/>
      <x:c r="F35" s="2"/>
      <x:c r="G35" s="2" t="str">
        <x:f>IF(6&lt;='Inputs'!$E$45,6,"")</x:f>
      </x:c>
      <x:c r="H35" s="60" t="str">
        <x:f>IF(G35="","",'Annual Projection'!O15-SUM('Annual Projection'!Q15,'Annual Projection'!M15,'Annual Projection'!R15))</x:f>
      </x:c>
      <x:c r="I35" s="60" t="str">
        <x:f>IF(G35="","",'Annual Projection'!L15-SUM('Annual Projection'!Q15,'Annual Projection'!U15))</x:f>
      </x:c>
      <x:c r="J35" s="60" t="str">
        <x:f>IF(G35="","",MIN(0,'Annual Projection'!R15))</x:f>
      </x:c>
      <x:c r="K35" s="60" t="str">
        <x:f>IF(G35="","",MIN(0,'Annual Projection'!U15))</x:f>
      </x:c>
      <x:c r="L35" s="34" t="str">
        <x:f>IF(G35="","",'Annual Projection'!P15)</x:f>
      </x:c>
      <x:c r="M35" s="34" t="str">
        <x:f>IF(G35="","",'Annual Projection'!R15)</x:f>
      </x:c>
      <x:c r="N35" s="34" t="str">
        <x:f>IF(G35="","",'Annual Projection'!Q15)</x:f>
      </x:c>
      <x:c r="O35" s="34" t="str">
        <x:f>IF(G35="","",'Annual Projection'!M15)</x:f>
      </x:c>
    </x:row>
    <x:row r="36" ht="23" customHeight="1">
      <x:c r="C36" s="2"/>
      <x:c r="D36" s="2"/>
      <x:c r="E36" s="2"/>
      <x:c r="F36" s="2"/>
      <x:c r="G36" s="2" t="str">
        <x:f>IF(7&lt;='Inputs'!$E$45,7,"")</x:f>
      </x:c>
      <x:c r="H36" s="60" t="str">
        <x:f>IF(G36="","",'Annual Projection'!O16-SUM('Annual Projection'!Q16,'Annual Projection'!M16,'Annual Projection'!R16))</x:f>
      </x:c>
      <x:c r="I36" s="60" t="str">
        <x:f>IF(G36="","",'Annual Projection'!L16-SUM('Annual Projection'!Q16,'Annual Projection'!U16))</x:f>
      </x:c>
      <x:c r="J36" s="60" t="str">
        <x:f>IF(G36="","",MIN(0,'Annual Projection'!R16))</x:f>
      </x:c>
      <x:c r="K36" s="60" t="str">
        <x:f>IF(G36="","",MIN(0,'Annual Projection'!U16))</x:f>
      </x:c>
      <x:c r="L36" s="34" t="str">
        <x:f>IF(G36="","",'Annual Projection'!P16)</x:f>
      </x:c>
      <x:c r="M36" s="34" t="str">
        <x:f>IF(G36="","",'Annual Projection'!R16)</x:f>
      </x:c>
      <x:c r="N36" s="34" t="str">
        <x:f>IF(G36="","",'Annual Projection'!Q16)</x:f>
      </x:c>
      <x:c r="O36" s="34" t="str">
        <x:f>IF(G36="","",'Annual Projection'!M16)</x:f>
      </x:c>
    </x:row>
    <x:row r="37" ht="23" customHeight="1">
      <x:c r="C37" s="2"/>
      <x:c r="D37" s="2"/>
      <x:c r="E37" s="2"/>
      <x:c r="F37" s="2"/>
      <x:c r="G37" s="2" t="str">
        <x:f>IF(8&lt;='Inputs'!$E$45,8,"")</x:f>
      </x:c>
      <x:c r="H37" s="60" t="str">
        <x:f>IF(G37="","",'Annual Projection'!O17-SUM('Annual Projection'!Q17,'Annual Projection'!M17,'Annual Projection'!R17))</x:f>
      </x:c>
      <x:c r="I37" s="60" t="str">
        <x:f>IF(G37="","",'Annual Projection'!L17-SUM('Annual Projection'!Q17,'Annual Projection'!U17))</x:f>
      </x:c>
      <x:c r="J37" s="60" t="str">
        <x:f>IF(G37="","",MIN(0,'Annual Projection'!R17))</x:f>
      </x:c>
      <x:c r="K37" s="60" t="str">
        <x:f>IF(G37="","",MIN(0,'Annual Projection'!U17))</x:f>
      </x:c>
      <x:c r="L37" s="34" t="str">
        <x:f>IF(G37="","",'Annual Projection'!P17)</x:f>
      </x:c>
      <x:c r="M37" s="34" t="str">
        <x:f>IF(G37="","",'Annual Projection'!R17)</x:f>
      </x:c>
      <x:c r="N37" s="34" t="str">
        <x:f>IF(G37="","",'Annual Projection'!Q17)</x:f>
      </x:c>
      <x:c r="O37" s="34" t="str">
        <x:f>IF(G37="","",'Annual Projection'!M17)</x:f>
      </x:c>
    </x:row>
    <x:row r="38" ht="23" customHeight="1">
      <x:c r="C38" s="2"/>
      <x:c r="D38" s="2"/>
      <x:c r="E38" s="2"/>
      <x:c r="F38" s="2"/>
      <x:c r="G38" s="2" t="str">
        <x:f>IF(9&lt;='Inputs'!$E$45,9,"")</x:f>
      </x:c>
      <x:c r="H38" s="60" t="str">
        <x:f>IF(G38="","",'Annual Projection'!O18-SUM('Annual Projection'!Q18,'Annual Projection'!M18,'Annual Projection'!R18))</x:f>
      </x:c>
      <x:c r="I38" s="60" t="str">
        <x:f>IF(G38="","",'Annual Projection'!L18-SUM('Annual Projection'!Q18,'Annual Projection'!U18))</x:f>
      </x:c>
      <x:c r="J38" s="60" t="str">
        <x:f>IF(G38="","",MIN(0,'Annual Projection'!R18))</x:f>
      </x:c>
      <x:c r="K38" s="60" t="str">
        <x:f>IF(G38="","",MIN(0,'Annual Projection'!U18))</x:f>
      </x:c>
      <x:c r="L38" s="34" t="str">
        <x:f>IF(G38="","",'Annual Projection'!P18)</x:f>
      </x:c>
      <x:c r="M38" s="34" t="str">
        <x:f>IF(G38="","",'Annual Projection'!R18)</x:f>
      </x:c>
      <x:c r="N38" s="34" t="str">
        <x:f>IF(G38="","",'Annual Projection'!Q18)</x:f>
      </x:c>
      <x:c r="O38" s="34" t="str">
        <x:f>IF(G38="","",'Annual Projection'!M18)</x:f>
      </x:c>
    </x:row>
    <x:row r="39" ht="23" customHeight="1">
      <x:c r="C39" s="2"/>
      <x:c r="D39" s="2"/>
      <x:c r="E39" s="2"/>
      <x:c r="F39" s="2"/>
      <x:c r="G39" s="2" t="str">
        <x:f>IF(10&lt;='Inputs'!$E$45,10,"")</x:f>
      </x:c>
      <x:c r="H39" s="60" t="str">
        <x:f>IF(G39="","",'Annual Projection'!O19-SUM('Annual Projection'!Q19,'Annual Projection'!M19,'Annual Projection'!R19))</x:f>
      </x:c>
      <x:c r="I39" s="60" t="str">
        <x:f>IF(G39="","",'Annual Projection'!L19-SUM('Annual Projection'!Q19,'Annual Projection'!U19))</x:f>
      </x:c>
      <x:c r="J39" s="60" t="str">
        <x:f>IF(G39="","",MIN(0,'Annual Projection'!R19))</x:f>
      </x:c>
      <x:c r="K39" s="60" t="str">
        <x:f>IF(G39="","",MIN(0,'Annual Projection'!U19))</x:f>
      </x:c>
      <x:c r="L39" s="34" t="str">
        <x:f>IF(G39="","",'Annual Projection'!P19)</x:f>
      </x:c>
      <x:c r="M39" s="34" t="str">
        <x:f>IF(G39="","",'Annual Projection'!R19)</x:f>
      </x:c>
      <x:c r="N39" s="34" t="str">
        <x:f>IF(G39="","",'Annual Projection'!Q19)</x:f>
      </x:c>
      <x:c r="O39" s="34" t="str">
        <x:f>IF(G39="","",'Annual Projection'!M19)</x:f>
      </x:c>
    </x:row>
    <x:row r="40" ht="23" customHeight="1">
      <x:c r="C40" s="2"/>
      <x:c r="D40" s="2"/>
      <x:c r="E40" s="2"/>
      <x:c r="F40" s="2"/>
      <x:c r="G40" s="2" t="str">
        <x:f>IF(11&lt;='Inputs'!$E$45,11,"")</x:f>
      </x:c>
      <x:c r="H40" s="60" t="str">
        <x:f>IF(G40="","",'Annual Projection'!O20-SUM('Annual Projection'!Q20,'Annual Projection'!M20,'Annual Projection'!R20))</x:f>
      </x:c>
      <x:c r="I40" s="60" t="str">
        <x:f>IF(G40="","",'Annual Projection'!L20-SUM('Annual Projection'!Q20,'Annual Projection'!U20))</x:f>
      </x:c>
      <x:c r="J40" s="60" t="str">
        <x:f>IF(G40="","",MIN(0,'Annual Projection'!R20))</x:f>
      </x:c>
      <x:c r="K40" s="60" t="str">
        <x:f>IF(G40="","",MIN(0,'Annual Projection'!U20))</x:f>
      </x:c>
      <x:c r="L40" s="34" t="str">
        <x:f>IF(G40="","",'Annual Projection'!P20)</x:f>
      </x:c>
      <x:c r="M40" s="34" t="str">
        <x:f>IF(G40="","",'Annual Projection'!R20)</x:f>
      </x:c>
      <x:c r="N40" s="34" t="str">
        <x:f>IF(G40="","",'Annual Projection'!Q20)</x:f>
      </x:c>
      <x:c r="O40" s="34" t="str">
        <x:f>IF(G40="","",'Annual Projection'!M20)</x:f>
      </x:c>
    </x:row>
    <x:row r="41" ht="23" customHeight="1">
      <x:c r="C41" s="2"/>
      <x:c r="D41" s="2"/>
      <x:c r="E41" s="2"/>
      <x:c r="F41" s="2"/>
      <x:c r="G41" s="2" t="str">
        <x:f>IF(12&lt;='Inputs'!$E$45,12,"")</x:f>
      </x:c>
      <x:c r="H41" s="60" t="str">
        <x:f>IF(G41="","",'Annual Projection'!O21-SUM('Annual Projection'!Q21,'Annual Projection'!M21,'Annual Projection'!R21))</x:f>
      </x:c>
      <x:c r="I41" s="60" t="str">
        <x:f>IF(G41="","",'Annual Projection'!L21-SUM('Annual Projection'!Q21,'Annual Projection'!U21))</x:f>
      </x:c>
      <x:c r="J41" s="60" t="str">
        <x:f>IF(G41="","",MIN(0,'Annual Projection'!R21))</x:f>
      </x:c>
      <x:c r="K41" s="60" t="str">
        <x:f>IF(G41="","",MIN(0,'Annual Projection'!U21))</x:f>
      </x:c>
      <x:c r="L41" s="34" t="str">
        <x:f>IF(G41="","",'Annual Projection'!P21)</x:f>
      </x:c>
      <x:c r="M41" s="34" t="str">
        <x:f>IF(G41="","",'Annual Projection'!R21)</x:f>
      </x:c>
      <x:c r="N41" s="34" t="str">
        <x:f>IF(G41="","",'Annual Projection'!Q21)</x:f>
      </x:c>
      <x:c r="O41" s="34" t="str">
        <x:f>IF(G41="","",'Annual Projection'!M21)</x:f>
      </x:c>
    </x:row>
    <x:row r="42" ht="23" customHeight="1">
      <x:c r="C42" s="2"/>
      <x:c r="D42" s="2"/>
      <x:c r="E42" s="2"/>
      <x:c r="F42" s="2"/>
      <x:c r="G42" s="2" t="str">
        <x:f>IF(13&lt;='Inputs'!$E$45,13,"")</x:f>
      </x:c>
      <x:c r="H42" s="60" t="str">
        <x:f>IF(G42="","",'Annual Projection'!O22-SUM('Annual Projection'!Q22,'Annual Projection'!M22,'Annual Projection'!R22))</x:f>
      </x:c>
      <x:c r="I42" s="60" t="str">
        <x:f>IF(G42="","",'Annual Projection'!L22-SUM('Annual Projection'!Q22,'Annual Projection'!U22))</x:f>
      </x:c>
      <x:c r="J42" s="60" t="str">
        <x:f>IF(G42="","",MIN(0,'Annual Projection'!R22))</x:f>
      </x:c>
      <x:c r="K42" s="60" t="str">
        <x:f>IF(G42="","",MIN(0,'Annual Projection'!U22))</x:f>
      </x:c>
      <x:c r="L42" s="34" t="str">
        <x:f>IF(G42="","",'Annual Projection'!P22)</x:f>
      </x:c>
      <x:c r="M42" s="34" t="str">
        <x:f>IF(G42="","",'Annual Projection'!R22)</x:f>
      </x:c>
      <x:c r="N42" s="34" t="str">
        <x:f>IF(G42="","",'Annual Projection'!Q22)</x:f>
      </x:c>
      <x:c r="O42" s="34" t="str">
        <x:f>IF(G42="","",'Annual Projection'!M22)</x:f>
      </x:c>
    </x:row>
    <x:row r="43" ht="23" customHeight="1">
      <x:c r="C43" s="2"/>
      <x:c r="D43" s="2"/>
      <x:c r="E43" s="2"/>
      <x:c r="F43" s="2"/>
      <x:c r="G43" s="2" t="str">
        <x:f>IF(14&lt;='Inputs'!$E$45,14,"")</x:f>
      </x:c>
      <x:c r="H43" s="60" t="str">
        <x:f>IF(G43="","",'Annual Projection'!O23-SUM('Annual Projection'!Q23,'Annual Projection'!M23,'Annual Projection'!R23))</x:f>
      </x:c>
      <x:c r="I43" s="60" t="str">
        <x:f>IF(G43="","",'Annual Projection'!L23-SUM('Annual Projection'!Q23,'Annual Projection'!U23))</x:f>
      </x:c>
      <x:c r="J43" s="60" t="str">
        <x:f>IF(G43="","",MIN(0,'Annual Projection'!R23))</x:f>
      </x:c>
      <x:c r="K43" s="60" t="str">
        <x:f>IF(G43="","",MIN(0,'Annual Projection'!U23))</x:f>
      </x:c>
      <x:c r="L43" s="34" t="str">
        <x:f>IF(G43="","",'Annual Projection'!P23)</x:f>
      </x:c>
      <x:c r="M43" s="34" t="str">
        <x:f>IF(G43="","",'Annual Projection'!R23)</x:f>
      </x:c>
      <x:c r="N43" s="34" t="str">
        <x:f>IF(G43="","",'Annual Projection'!Q23)</x:f>
      </x:c>
      <x:c r="O43" s="34" t="str">
        <x:f>IF(G43="","",'Annual Projection'!M23)</x:f>
      </x:c>
    </x:row>
    <x:row r="44" ht="23" customHeight="1">
      <x:c r="C44" s="2"/>
      <x:c r="D44" s="2"/>
      <x:c r="E44" s="2"/>
      <x:c r="F44" s="2"/>
      <x:c r="G44" s="2" t="str">
        <x:f>IF(15&lt;='Inputs'!$E$45,15,"")</x:f>
      </x:c>
      <x:c r="H44" s="60" t="str">
        <x:f>IF(G44="","",'Annual Projection'!O24-SUM('Annual Projection'!Q24,'Annual Projection'!M24,'Annual Projection'!R24))</x:f>
      </x:c>
      <x:c r="I44" s="60" t="str">
        <x:f>IF(G44="","",'Annual Projection'!L24-SUM('Annual Projection'!Q24,'Annual Projection'!U24))</x:f>
      </x:c>
      <x:c r="J44" s="60" t="str">
        <x:f>IF(G44="","",MIN(0,'Annual Projection'!R24))</x:f>
      </x:c>
      <x:c r="K44" s="60" t="str">
        <x:f>IF(G44="","",MIN(0,'Annual Projection'!U24))</x:f>
      </x:c>
      <x:c r="L44" s="34" t="str">
        <x:f>IF(G44="","",'Annual Projection'!P24)</x:f>
      </x:c>
      <x:c r="M44" s="34" t="str">
        <x:f>IF(G44="","",'Annual Projection'!R24)</x:f>
      </x:c>
      <x:c r="N44" s="34" t="str">
        <x:f>IF(G44="","",'Annual Projection'!Q24)</x:f>
      </x:c>
      <x:c r="O44" s="34" t="str">
        <x:f>IF(G44="","",'Annual Projection'!M24)</x:f>
      </x:c>
    </x:row>
    <x:row r="45" ht="23" customHeight="1">
      <x:c r="C45" s="2"/>
      <x:c r="D45" s="2"/>
      <x:c r="E45" s="2"/>
      <x:c r="F45" s="2"/>
      <x:c r="G45" s="2" t="str">
        <x:f>IF(16&lt;='Inputs'!$E$45,16,"")</x:f>
      </x:c>
      <x:c r="H45" s="60" t="str">
        <x:f>IF(G45="","",'Annual Projection'!O25-SUM('Annual Projection'!Q25,'Annual Projection'!M25,'Annual Projection'!R25))</x:f>
      </x:c>
      <x:c r="I45" s="60" t="str">
        <x:f>IF(G45="","",'Annual Projection'!L25-SUM('Annual Projection'!Q25,'Annual Projection'!U25))</x:f>
      </x:c>
      <x:c r="J45" s="60" t="str">
        <x:f>IF(G45="","",MIN(0,'Annual Projection'!R25))</x:f>
      </x:c>
      <x:c r="K45" s="60" t="str">
        <x:f>IF(G45="","",MIN(0,'Annual Projection'!U25))</x:f>
      </x:c>
      <x:c r="L45" s="34" t="str">
        <x:f>IF(G45="","",'Annual Projection'!P25)</x:f>
      </x:c>
      <x:c r="M45" s="34" t="str">
        <x:f>IF(G45="","",'Annual Projection'!R25)</x:f>
      </x:c>
      <x:c r="N45" s="34" t="str">
        <x:f>IF(G45="","",'Annual Projection'!Q25)</x:f>
      </x:c>
      <x:c r="O45" s="34" t="str">
        <x:f>IF(G45="","",'Annual Projection'!M25)</x:f>
      </x:c>
    </x:row>
    <x:row r="46" ht="23" customHeight="1">
      <x:c r="C46" s="2"/>
      <x:c r="D46" s="2"/>
      <x:c r="E46" s="2"/>
      <x:c r="F46" s="2"/>
      <x:c r="G46" s="2" t="str">
        <x:f>IF(17&lt;='Inputs'!$E$45,17,"")</x:f>
      </x:c>
      <x:c r="H46" s="60" t="str">
        <x:f>IF(G46="","",'Annual Projection'!O26-SUM('Annual Projection'!Q26,'Annual Projection'!M26,'Annual Projection'!R26))</x:f>
      </x:c>
      <x:c r="I46" s="60" t="str">
        <x:f>IF(G46="","",'Annual Projection'!L26-SUM('Annual Projection'!Q26,'Annual Projection'!U26))</x:f>
      </x:c>
      <x:c r="J46" s="60" t="str">
        <x:f>IF(G46="","",MIN(0,'Annual Projection'!R26))</x:f>
      </x:c>
      <x:c r="K46" s="60" t="str">
        <x:f>IF(G46="","",MIN(0,'Annual Projection'!U26))</x:f>
      </x:c>
      <x:c r="L46" s="34" t="str">
        <x:f>IF(G46="","",'Annual Projection'!P26)</x:f>
      </x:c>
      <x:c r="M46" s="34" t="str">
        <x:f>IF(G46="","",'Annual Projection'!R26)</x:f>
      </x:c>
      <x:c r="N46" s="34" t="str">
        <x:f>IF(G46="","",'Annual Projection'!Q26)</x:f>
      </x:c>
      <x:c r="O46" s="34" t="str">
        <x:f>IF(G46="","",'Annual Projection'!M26)</x:f>
      </x:c>
    </x:row>
    <x:row r="47" ht="23" customHeight="1">
      <x:c r="C47" s="2"/>
      <x:c r="D47" s="2"/>
      <x:c r="E47" s="2"/>
      <x:c r="F47" s="2"/>
      <x:c r="G47" s="2" t="str">
        <x:f>IF(18&lt;='Inputs'!$E$45,18,"")</x:f>
      </x:c>
      <x:c r="H47" s="60" t="str">
        <x:f>IF(G47="","",'Annual Projection'!O27-SUM('Annual Projection'!Q27,'Annual Projection'!M27,'Annual Projection'!R27))</x:f>
      </x:c>
      <x:c r="I47" s="60" t="str">
        <x:f>IF(G47="","",'Annual Projection'!L27-SUM('Annual Projection'!Q27,'Annual Projection'!U27))</x:f>
      </x:c>
      <x:c r="J47" s="60" t="str">
        <x:f>IF(G47="","",MIN(0,'Annual Projection'!R27))</x:f>
      </x:c>
      <x:c r="K47" s="60" t="str">
        <x:f>IF(G47="","",MIN(0,'Annual Projection'!U27))</x:f>
      </x:c>
      <x:c r="L47" s="34" t="str">
        <x:f>IF(G47="","",'Annual Projection'!P27)</x:f>
      </x:c>
      <x:c r="M47" s="34" t="str">
        <x:f>IF(G47="","",'Annual Projection'!R27)</x:f>
      </x:c>
      <x:c r="N47" s="34" t="str">
        <x:f>IF(G47="","",'Annual Projection'!Q27)</x:f>
      </x:c>
      <x:c r="O47" s="34" t="str">
        <x:f>IF(G47="","",'Annual Projection'!M27)</x:f>
      </x:c>
    </x:row>
    <x:row r="48" ht="23" customHeight="1">
      <x:c r="C48" s="2"/>
      <x:c r="D48" s="2"/>
      <x:c r="E48" s="2"/>
      <x:c r="F48" s="2"/>
      <x:c r="G48" s="2" t="str">
        <x:f>IF(19&lt;='Inputs'!$E$45,19,"")</x:f>
      </x:c>
      <x:c r="H48" s="60" t="str">
        <x:f>IF(G48="","",'Annual Projection'!O28-SUM('Annual Projection'!Q28,'Annual Projection'!M28,'Annual Projection'!R28))</x:f>
      </x:c>
      <x:c r="I48" s="60" t="str">
        <x:f>IF(G48="","",'Annual Projection'!L28-SUM('Annual Projection'!Q28,'Annual Projection'!U28))</x:f>
      </x:c>
      <x:c r="J48" s="60" t="str">
        <x:f>IF(G48="","",MIN(0,'Annual Projection'!R28))</x:f>
      </x:c>
      <x:c r="K48" s="60" t="str">
        <x:f>IF(G48="","",MIN(0,'Annual Projection'!U28))</x:f>
      </x:c>
      <x:c r="L48" s="34" t="str">
        <x:f>IF(G48="","",'Annual Projection'!P28)</x:f>
      </x:c>
      <x:c r="M48" s="34" t="str">
        <x:f>IF(G48="","",'Annual Projection'!R28)</x:f>
      </x:c>
      <x:c r="N48" s="34" t="str">
        <x:f>IF(G48="","",'Annual Projection'!Q28)</x:f>
      </x:c>
      <x:c r="O48" s="34" t="str">
        <x:f>IF(G48="","",'Annual Projection'!M28)</x:f>
      </x:c>
    </x:row>
    <x:row r="49" ht="23" customHeight="1">
      <x:c r="C49" s="2"/>
      <x:c r="D49" s="2"/>
      <x:c r="E49" s="2"/>
      <x:c r="F49" s="2"/>
      <x:c r="G49" s="2" t="str">
        <x:f>IF(20&lt;='Inputs'!$E$45,20,"")</x:f>
      </x:c>
      <x:c r="H49" s="60" t="str">
        <x:f>IF(G49="","",'Annual Projection'!O29-SUM('Annual Projection'!Q29,'Annual Projection'!M29,'Annual Projection'!R29))</x:f>
      </x:c>
      <x:c r="I49" s="60" t="str">
        <x:f>IF(G49="","",'Annual Projection'!L29-SUM('Annual Projection'!Q29,'Annual Projection'!U29))</x:f>
      </x:c>
      <x:c r="J49" s="60" t="str">
        <x:f>IF(G49="","",MIN(0,'Annual Projection'!R29))</x:f>
      </x:c>
      <x:c r="K49" s="60" t="str">
        <x:f>IF(G49="","",MIN(0,'Annual Projection'!U29))</x:f>
      </x:c>
      <x:c r="L49" s="34" t="str">
        <x:f>IF(G49="","",'Annual Projection'!P29)</x:f>
      </x:c>
      <x:c r="M49" s="34" t="str">
        <x:f>IF(G49="","",'Annual Projection'!R29)</x:f>
      </x:c>
      <x:c r="N49" s="34" t="str">
        <x:f>IF(G49="","",'Annual Projection'!Q29)</x:f>
      </x:c>
      <x:c r="O49" s="34" t="str">
        <x:f>IF(G49="","",'Annual Projection'!M29)</x:f>
      </x:c>
    </x:row>
    <x:row r="50" ht="23" customHeight="1">
      <x:c r="C50" s="2"/>
      <x:c r="D50" s="2"/>
      <x:c r="E50" s="2"/>
      <x:c r="F50" s="2"/>
      <x:c r="G50" s="2" t="str">
        <x:f>IF(21&lt;='Inputs'!$E$45,21,"")</x:f>
      </x:c>
      <x:c r="H50" s="60" t="str">
        <x:f>IF(G50="","",'Annual Projection'!O30-SUM('Annual Projection'!Q30,'Annual Projection'!M30,'Annual Projection'!R30))</x:f>
      </x:c>
      <x:c r="I50" s="60" t="str">
        <x:f>IF(G50="","",'Annual Projection'!L30-SUM('Annual Projection'!Q30,'Annual Projection'!U30))</x:f>
      </x:c>
      <x:c r="J50" s="60" t="str">
        <x:f>IF(G50="","",MIN(0,'Annual Projection'!R30))</x:f>
      </x:c>
      <x:c r="K50" s="60" t="str">
        <x:f>IF(G50="","",MIN(0,'Annual Projection'!U30))</x:f>
      </x:c>
      <x:c r="L50" s="34" t="str">
        <x:f>IF(G50="","",'Annual Projection'!P30)</x:f>
      </x:c>
      <x:c r="M50" s="34" t="str">
        <x:f>IF(G50="","",'Annual Projection'!R30)</x:f>
      </x:c>
      <x:c r="N50" s="34" t="str">
        <x:f>IF(G50="","",'Annual Projection'!Q30)</x:f>
      </x:c>
      <x:c r="O50" s="34" t="str">
        <x:f>IF(G50="","",'Annual Projection'!M30)</x:f>
      </x:c>
    </x:row>
    <x:row r="51" ht="23" customHeight="1">
      <x:c r="C51" s="2"/>
      <x:c r="D51" s="2"/>
      <x:c r="E51" s="2"/>
      <x:c r="F51" s="2"/>
      <x:c r="G51" s="2" t="str">
        <x:f>IF(22&lt;='Inputs'!$E$45,22,"")</x:f>
      </x:c>
      <x:c r="H51" s="60" t="str">
        <x:f>IF(G51="","",'Annual Projection'!O31-SUM('Annual Projection'!Q31,'Annual Projection'!M31,'Annual Projection'!R31))</x:f>
      </x:c>
      <x:c r="I51" s="60" t="str">
        <x:f>IF(G51="","",'Annual Projection'!L31-SUM('Annual Projection'!Q31,'Annual Projection'!U31))</x:f>
      </x:c>
      <x:c r="J51" s="60" t="str">
        <x:f>IF(G51="","",MIN(0,'Annual Projection'!R31))</x:f>
      </x:c>
      <x:c r="K51" s="60" t="str">
        <x:f>IF(G51="","",MIN(0,'Annual Projection'!U31))</x:f>
      </x:c>
      <x:c r="L51" s="34" t="str">
        <x:f>IF(G51="","",'Annual Projection'!P31)</x:f>
      </x:c>
      <x:c r="M51" s="34" t="str">
        <x:f>IF(G51="","",'Annual Projection'!R31)</x:f>
      </x:c>
      <x:c r="N51" s="34" t="str">
        <x:f>IF(G51="","",'Annual Projection'!Q31)</x:f>
      </x:c>
      <x:c r="O51" s="34" t="str">
        <x:f>IF(G51="","",'Annual Projection'!M31)</x:f>
      </x:c>
    </x:row>
    <x:row r="52" ht="23" customHeight="1">
      <x:c r="C52" s="2"/>
      <x:c r="D52" s="2"/>
      <x:c r="E52" s="2"/>
      <x:c r="F52" s="2"/>
      <x:c r="G52" s="2" t="str">
        <x:f>IF(23&lt;='Inputs'!$E$45,23,"")</x:f>
      </x:c>
      <x:c r="H52" s="60" t="str">
        <x:f>IF(G52="","",'Annual Projection'!O32-SUM('Annual Projection'!Q32,'Annual Projection'!M32,'Annual Projection'!R32))</x:f>
      </x:c>
      <x:c r="I52" s="60" t="str">
        <x:f>IF(G52="","",'Annual Projection'!L32-SUM('Annual Projection'!Q32,'Annual Projection'!U32))</x:f>
      </x:c>
      <x:c r="J52" s="60" t="str">
        <x:f>IF(G52="","",MIN(0,'Annual Projection'!R32))</x:f>
      </x:c>
      <x:c r="K52" s="60" t="str">
        <x:f>IF(G52="","",MIN(0,'Annual Projection'!U32))</x:f>
      </x:c>
      <x:c r="L52" s="34" t="str">
        <x:f>IF(G52="","",'Annual Projection'!P32)</x:f>
      </x:c>
      <x:c r="M52" s="34" t="str">
        <x:f>IF(G52="","",'Annual Projection'!R32)</x:f>
      </x:c>
      <x:c r="N52" s="34" t="str">
        <x:f>IF(G52="","",'Annual Projection'!Q32)</x:f>
      </x:c>
      <x:c r="O52" s="34" t="str">
        <x:f>IF(G52="","",'Annual Projection'!M32)</x:f>
      </x:c>
    </x:row>
    <x:row r="53" ht="23" customHeight="1">
      <x:c r="C53" s="2"/>
      <x:c r="D53" s="2"/>
      <x:c r="E53" s="2"/>
      <x:c r="F53" s="2"/>
      <x:c r="G53" s="2" t="str">
        <x:f>IF(24&lt;='Inputs'!$E$45,24,"")</x:f>
      </x:c>
      <x:c r="H53" s="60" t="str">
        <x:f>IF(G53="","",'Annual Projection'!O33-SUM('Annual Projection'!Q33,'Annual Projection'!M33,'Annual Projection'!R33))</x:f>
      </x:c>
      <x:c r="I53" s="60" t="str">
        <x:f>IF(G53="","",'Annual Projection'!L33-SUM('Annual Projection'!Q33,'Annual Projection'!U33))</x:f>
      </x:c>
      <x:c r="J53" s="60" t="str">
        <x:f>IF(G53="","",MIN(0,'Annual Projection'!R33))</x:f>
      </x:c>
      <x:c r="K53" s="60" t="str">
        <x:f>IF(G53="","",MIN(0,'Annual Projection'!U33))</x:f>
      </x:c>
      <x:c r="L53" s="34" t="str">
        <x:f>IF(G53="","",'Annual Projection'!P33)</x:f>
      </x:c>
      <x:c r="M53" s="34" t="str">
        <x:f>IF(G53="","",'Annual Projection'!R33)</x:f>
      </x:c>
      <x:c r="N53" s="34" t="str">
        <x:f>IF(G53="","",'Annual Projection'!Q33)</x:f>
      </x:c>
      <x:c r="O53" s="34" t="str">
        <x:f>IF(G53="","",'Annual Projection'!M33)</x:f>
      </x:c>
    </x:row>
    <x:row r="54" ht="23" customHeight="1">
      <x:c r="C54" s="2"/>
      <x:c r="D54" s="2"/>
      <x:c r="E54" s="2"/>
      <x:c r="F54" s="2"/>
      <x:c r="G54" s="2" t="str">
        <x:f>IF(25&lt;='Inputs'!$E$45,25,"")</x:f>
      </x:c>
      <x:c r="H54" s="60" t="str">
        <x:f>IF(G54="","",'Annual Projection'!O34-SUM('Annual Projection'!Q34,'Annual Projection'!M34,'Annual Projection'!R34))</x:f>
      </x:c>
      <x:c r="I54" s="60" t="str">
        <x:f>IF(G54="","",'Annual Projection'!L34-SUM('Annual Projection'!Q34,'Annual Projection'!U34))</x:f>
      </x:c>
      <x:c r="J54" s="60" t="str">
        <x:f>IF(G54="","",MIN(0,'Annual Projection'!R34))</x:f>
      </x:c>
      <x:c r="K54" s="60" t="str">
        <x:f>IF(G54="","",MIN(0,'Annual Projection'!U34))</x:f>
      </x:c>
      <x:c r="L54" s="34" t="str">
        <x:f>IF(G54="","",'Annual Projection'!P34)</x:f>
      </x:c>
      <x:c r="M54" s="34" t="str">
        <x:f>IF(G54="","",'Annual Projection'!R34)</x:f>
      </x:c>
      <x:c r="N54" s="34" t="str">
        <x:f>IF(G54="","",'Annual Projection'!Q34)</x:f>
      </x:c>
      <x:c r="O54" s="34" t="str">
        <x:f>IF(G54="","",'Annual Projection'!M34)</x:f>
      </x:c>
    </x:row>
    <x:row r="55" ht="23" customHeight="1">
      <x:c r="C55" s="2"/>
      <x:c r="D55" s="2"/>
      <x:c r="E55" s="2"/>
      <x:c r="F55" s="2"/>
      <x:c r="G55" s="2" t="str">
        <x:f>IF(26&lt;='Inputs'!$E$45,26,"")</x:f>
      </x:c>
      <x:c r="H55" s="60" t="str">
        <x:f>IF(G55="","",'Annual Projection'!O35-SUM('Annual Projection'!Q35,'Annual Projection'!M35,'Annual Projection'!R35))</x:f>
      </x:c>
      <x:c r="I55" s="60" t="str">
        <x:f>IF(G55="","",'Annual Projection'!L35-SUM('Annual Projection'!Q35,'Annual Projection'!U35))</x:f>
      </x:c>
      <x:c r="J55" s="60" t="str">
        <x:f>IF(G55="","",MIN(0,'Annual Projection'!R35))</x:f>
      </x:c>
      <x:c r="K55" s="60" t="str">
        <x:f>IF(G55="","",MIN(0,'Annual Projection'!U35))</x:f>
      </x:c>
      <x:c r="L55" s="34" t="str">
        <x:f>IF(G55="","",'Annual Projection'!P35)</x:f>
      </x:c>
      <x:c r="M55" s="34" t="str">
        <x:f>IF(G55="","",'Annual Projection'!R35)</x:f>
      </x:c>
      <x:c r="N55" s="34" t="str">
        <x:f>IF(G55="","",'Annual Projection'!Q35)</x:f>
      </x:c>
      <x:c r="O55" s="34" t="str">
        <x:f>IF(G55="","",'Annual Projection'!M35)</x:f>
      </x:c>
    </x:row>
    <x:row r="56" ht="23" customHeight="1">
      <x:c r="C56" s="2"/>
      <x:c r="D56" s="2"/>
      <x:c r="E56" s="2"/>
      <x:c r="F56" s="2"/>
      <x:c r="G56" s="2" t="str">
        <x:f>IF(27&lt;='Inputs'!$E$45,27,"")</x:f>
      </x:c>
      <x:c r="H56" s="60" t="str">
        <x:f>IF(G56="","",'Annual Projection'!O36-SUM('Annual Projection'!Q36,'Annual Projection'!M36,'Annual Projection'!R36))</x:f>
      </x:c>
      <x:c r="I56" s="60" t="str">
        <x:f>IF(G56="","",'Annual Projection'!L36-SUM('Annual Projection'!Q36,'Annual Projection'!U36))</x:f>
      </x:c>
      <x:c r="J56" s="60" t="str">
        <x:f>IF(G56="","",MIN(0,'Annual Projection'!R36))</x:f>
      </x:c>
      <x:c r="K56" s="60" t="str">
        <x:f>IF(G56="","",MIN(0,'Annual Projection'!U36))</x:f>
      </x:c>
      <x:c r="L56" s="34" t="str">
        <x:f>IF(G56="","",'Annual Projection'!P36)</x:f>
      </x:c>
      <x:c r="M56" s="34" t="str">
        <x:f>IF(G56="","",'Annual Projection'!R36)</x:f>
      </x:c>
      <x:c r="N56" s="34" t="str">
        <x:f>IF(G56="","",'Annual Projection'!Q36)</x:f>
      </x:c>
      <x:c r="O56" s="34" t="str">
        <x:f>IF(G56="","",'Annual Projection'!M36)</x:f>
      </x:c>
    </x:row>
    <x:row r="57" ht="23" customHeight="1">
      <x:c r="C57" s="2"/>
      <x:c r="D57" s="2"/>
      <x:c r="E57" s="2"/>
      <x:c r="F57" s="2"/>
      <x:c r="G57" s="2" t="str">
        <x:f>IF(28&lt;='Inputs'!$E$45,28,"")</x:f>
      </x:c>
      <x:c r="H57" s="60" t="str">
        <x:f>IF(G57="","",'Annual Projection'!O37-SUM('Annual Projection'!Q37,'Annual Projection'!M37,'Annual Projection'!R37))</x:f>
      </x:c>
      <x:c r="I57" s="60" t="str">
        <x:f>IF(G57="","",'Annual Projection'!L37-SUM('Annual Projection'!Q37,'Annual Projection'!U37))</x:f>
      </x:c>
      <x:c r="J57" s="60" t="str">
        <x:f>IF(G57="","",MIN(0,'Annual Projection'!R37))</x:f>
      </x:c>
      <x:c r="K57" s="60" t="str">
        <x:f>IF(G57="","",MIN(0,'Annual Projection'!U37))</x:f>
      </x:c>
      <x:c r="L57" s="34" t="str">
        <x:f>IF(G57="","",'Annual Projection'!P37)</x:f>
      </x:c>
      <x:c r="M57" s="34" t="str">
        <x:f>IF(G57="","",'Annual Projection'!R37)</x:f>
      </x:c>
      <x:c r="N57" s="34" t="str">
        <x:f>IF(G57="","",'Annual Projection'!Q37)</x:f>
      </x:c>
      <x:c r="O57" s="34" t="str">
        <x:f>IF(G57="","",'Annual Projection'!M37)</x:f>
      </x:c>
    </x:row>
    <x:row r="58" ht="23" customHeight="1">
      <x:c r="C58" s="2"/>
      <x:c r="D58" s="2"/>
      <x:c r="E58" s="2"/>
      <x:c r="F58" s="2"/>
      <x:c r="G58" s="2" t="str">
        <x:f>IF(29&lt;='Inputs'!$E$45,29,"")</x:f>
      </x:c>
      <x:c r="H58" s="60" t="str">
        <x:f>IF(G58="","",'Annual Projection'!O38-SUM('Annual Projection'!Q38,'Annual Projection'!M38,'Annual Projection'!R38))</x:f>
      </x:c>
      <x:c r="I58" s="60" t="str">
        <x:f>IF(G58="","",'Annual Projection'!L38-SUM('Annual Projection'!Q38,'Annual Projection'!U38))</x:f>
      </x:c>
      <x:c r="J58" s="60" t="str">
        <x:f>IF(G58="","",MIN(0,'Annual Projection'!R38))</x:f>
      </x:c>
      <x:c r="K58" s="60" t="str">
        <x:f>IF(G58="","",MIN(0,'Annual Projection'!U38))</x:f>
      </x:c>
      <x:c r="L58" s="34" t="str">
        <x:f>IF(G58="","",'Annual Projection'!P38)</x:f>
      </x:c>
      <x:c r="M58" s="34" t="str">
        <x:f>IF(G58="","",'Annual Projection'!R38)</x:f>
      </x:c>
      <x:c r="N58" s="34" t="str">
        <x:f>IF(G58="","",'Annual Projection'!Q38)</x:f>
      </x:c>
      <x:c r="O58" s="34" t="str">
        <x:f>IF(G58="","",'Annual Projection'!M38)</x:f>
      </x:c>
    </x:row>
    <x:row r="59" ht="23" customHeight="1">
      <x:c r="C59" s="2"/>
      <x:c r="D59" s="2"/>
      <x:c r="E59" s="2"/>
      <x:c r="F59" s="2"/>
      <x:c r="G59" s="2" t="str">
        <x:f>IF(30&lt;='Inputs'!$E$45,30,"")</x:f>
      </x:c>
      <x:c r="H59" s="60" t="str">
        <x:f>IF(G59="","",'Annual Projection'!O39-SUM('Annual Projection'!Q39,'Annual Projection'!M39,'Annual Projection'!R39))</x:f>
      </x:c>
      <x:c r="I59" s="60" t="str">
        <x:f>IF(G59="","",'Annual Projection'!L39-SUM('Annual Projection'!Q39,'Annual Projection'!U39))</x:f>
      </x:c>
      <x:c r="J59" s="60" t="str">
        <x:f>IF(G59="","",MIN(0,'Annual Projection'!R39))</x:f>
      </x:c>
      <x:c r="K59" s="60" t="str">
        <x:f>IF(G59="","",MIN(0,'Annual Projection'!U39))</x:f>
      </x:c>
      <x:c r="L59" s="34" t="str">
        <x:f>IF(G59="","",'Annual Projection'!P39)</x:f>
      </x:c>
      <x:c r="M59" s="34" t="str">
        <x:f>IF(G59="","",'Annual Projection'!R39)</x:f>
      </x:c>
      <x:c r="N59" s="34" t="str">
        <x:f>IF(G59="","",'Annual Projection'!Q39)</x:f>
      </x:c>
      <x:c r="O59" s="34" t="str">
        <x:f>IF(G59="","",'Annual Projection'!M39)</x:f>
      </x:c>
    </x:row>
    <x:row r="60" ht="23" customHeight="1">
      <x:c r="C60" s="2"/>
      <x:c r="D60" s="2"/>
      <x:c r="E60" s="2"/>
      <x:c r="F60" s="2"/>
      <x:c r="G60" s="2"/>
      <x:c r="H60" s="2"/>
      <x:c r="I60" s="2"/>
      <x:c r="J60" s="2"/>
      <x:c r="K60" s="2"/>
      <x:c r="L60" s="2"/>
      <x:c r="M60" s="2"/>
      <x:c r="N60" s="2"/>
      <x:c r="O60" s="2"/>
    </x:row>
    <x:row r="61" ht="23" customHeight="1">
      <x:c r="C61" s="2"/>
      <x:c r="D61" s="2"/>
      <x:c r="E61" s="2"/>
      <x:c r="F61" s="2"/>
      <x:c r="G61" s="2"/>
      <x:c r="H61" s="2"/>
      <x:c r="I61" s="2"/>
      <x:c r="J61" s="2"/>
      <x:c r="K61" s="2"/>
      <x:c r="L61" s="2"/>
      <x:c r="M61" s="2"/>
      <x:c r="N61" s="2"/>
      <x:c r="O61" s="2"/>
    </x:row>
    <x:row r="62" ht="23" customHeight="1">
      <x:c r="C62" s="2"/>
      <x:c r="D62" s="2"/>
      <x:c r="E62" s="2"/>
      <x:c r="F62" s="2"/>
      <x:c r="G62" s="2"/>
      <x:c r="H62" s="2"/>
      <x:c r="I62" s="2"/>
      <x:c r="J62" s="2"/>
      <x:c r="K62" s="2"/>
      <x:c r="L62" s="2"/>
      <x:c r="M62" s="2"/>
      <x:c r="N62" s="2"/>
      <x:c r="O62" s="2"/>
    </x:row>
    <x:row r="63" ht="23" customHeight="1">
      <x:c r="C63" s="2"/>
      <x:c r="D63" s="2"/>
      <x:c r="E63" s="2"/>
      <x:c r="F63" s="2"/>
      <x:c r="G63" s="2"/>
      <x:c r="H63" s="2"/>
      <x:c r="I63" s="2"/>
      <x:c r="J63" s="2"/>
      <x:c r="K63" s="2"/>
      <x:c r="L63" s="2"/>
      <x:c r="M63" s="2"/>
      <x:c r="N63" s="2"/>
      <x:c r="O63" s="2"/>
    </x:row>
    <x:row r="64" ht="23" customHeight="1">
      <x:c r="C64" s="2"/>
      <x:c r="D64" s="2"/>
      <x:c r="E64" s="2"/>
      <x:c r="F64" s="2"/>
      <x:c r="G64" s="2"/>
      <x:c r="H64" s="2"/>
      <x:c r="I64" s="2"/>
      <x:c r="J64" s="2"/>
      <x:c r="K64" s="2"/>
      <x:c r="L64" s="2"/>
      <x:c r="M64" s="2"/>
      <x:c r="N64" s="2"/>
      <x:c r="O64" s="2"/>
    </x:row>
    <x:row r="65" ht="23" customHeight="1">
      <x:c r="C65" s="2"/>
      <x:c r="D65" s="2"/>
      <x:c r="E65" s="2"/>
      <x:c r="F65" s="2"/>
      <x:c r="G65" s="2"/>
      <x:c r="H65" s="2"/>
      <x:c r="I65" s="2"/>
      <x:c r="J65" s="2"/>
      <x:c r="K65" s="2"/>
      <x:c r="L65" s="2"/>
      <x:c r="M65" s="2"/>
      <x:c r="N65" s="2"/>
      <x:c r="O65" s="2"/>
    </x:row>
    <x:row r="66" ht="23" customHeight="1">
      <x:c r="C66" s="2"/>
      <x:c r="D66" s="2"/>
      <x:c r="E66" s="2"/>
      <x:c r="F66" s="2"/>
      <x:c r="G66" s="2"/>
      <x:c r="H66" s="2"/>
      <x:c r="I66" s="2"/>
      <x:c r="J66" s="2"/>
      <x:c r="K66" s="2"/>
      <x:c r="L66" s="2"/>
      <x:c r="M66" s="2"/>
      <x:c r="N66" s="2"/>
      <x:c r="O66" s="2"/>
    </x:row>
  </x:sheetData>
  <x:mergeCells>
    <x:mergeCell ref="C2:K2"/>
    <x:mergeCell ref="C4:K4"/>
    <x:mergeCell ref="C6:D6"/>
    <x:mergeCell ref="G6:K6"/>
    <x:mergeCell ref="G7:K7"/>
    <x:mergeCell ref="G8:K8"/>
    <x:mergeCell ref="G9:K9"/>
    <x:mergeCell ref="G10:K10"/>
    <x:mergeCell ref="G11:K11"/>
    <x:mergeCell ref="G12:K12"/>
    <x:mergeCell ref="G13:K13"/>
    <x:mergeCell ref="G15:K15"/>
    <x:mergeCell ref="G16:K16"/>
    <x:mergeCell ref="G17:K17"/>
    <x:mergeCell ref="G18:K18"/>
    <x:mergeCell ref="G19:K19"/>
    <x:mergeCell ref="G20:K20"/>
    <x:mergeCell ref="G21:K21"/>
    <x:mergeCell ref="G22:K22"/>
    <x:mergeCell ref="G23:K23"/>
    <x:mergeCell ref="G24:K24"/>
    <x:mergeCell ref="G25:K25"/>
  </x:mergeCells>
  <x:conditionalFormatting sqref="E7:E25">
    <x:cfRule type="expression" dxfId="14" priority="1">
      <x:formula>AND(ISNUMBER(E7),ABS(E7)&gt;0.01)</x:formula>
    </x:cfRule>
  </x:conditionalFormatting>
  <x:conditionalFormatting sqref="H30:K59">
    <x:cfRule type="expression" dxfId="15" priority="2">
      <x:formula>AND(ISNUMBER(H30),ABS(H30)&gt;0.01)</x:formula>
    </x:cfRule>
  </x:conditionalFormatting>
  <x:pageMargins left="0.7" right="0.7" top="0.75" bottom="0.75" header="0.3" footer="0.3"/>
</x:worksheet>
</file>

<file path=xl/worksheets/sheet7.xml><?xml version="1.0" encoding="utf-8"?>
<x:worksheet xmlns:x="http://schemas.openxmlformats.org/spreadsheetml/2006/main">
  <x:sheetPr>
    <x:tabColor rgb="FF738391"/>
  </x:sheetPr>
  <x:sheetViews>
    <x:sheetView showGridLines="0" workbookViewId="0"/>
  </x:sheetViews>
  <x:sheetFormatPr defaultRowHeight="15"/>
  <x:cols>
    <x:col min="1" max="1" width="2.200000047683716" hidden="0" customWidth="1"/>
    <x:col min="2" max="2" width="2.200000047683716" hidden="0" customWidth="1"/>
    <x:col min="3" max="3" width="33" hidden="0" customWidth="1"/>
    <x:col min="4" max="4" width="3"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s>
  <x:sheetData>
    <x:row r="2" ht="31" customHeight="1">
      <x:c r="C2" s="3" t="str">
        <x:v>Read me &amp; model notes</x:v>
      </x:c>
      <x:c r="D2" s="3"/>
      <x:c r="E2" s="3"/>
      <x:c r="F2" s="3"/>
      <x:c r="G2" s="3"/>
      <x:c r="H2" s="3"/>
      <x:c r="I2" s="3"/>
      <x:c r="J2" s="3"/>
      <x:c r="K2" s="3"/>
    </x:row>
    <x:row r="3" ht="23" customHeight="1">
      <x:c r="C3" s="4"/>
      <x:c r="D3" s="4"/>
      <x:c r="E3" s="4"/>
      <x:c r="F3" s="4"/>
      <x:c r="G3" s="4"/>
      <x:c r="H3" s="4"/>
      <x:c r="I3" s="4"/>
      <x:c r="J3" s="4"/>
      <x:c r="K3" s="4"/>
    </x:row>
    <x:row r="4" ht="23" customHeight="1">
      <x:c r="C4" s="2"/>
      <x:c r="D4" s="2"/>
      <x:c r="E4" s="2"/>
      <x:c r="F4" s="2"/>
      <x:c r="G4" s="2"/>
      <x:c r="H4" s="2"/>
      <x:c r="I4" s="2"/>
      <x:c r="J4" s="2"/>
      <x:c r="K4" s="2"/>
    </x:row>
    <x:row r="5" ht="30" customHeight="1">
      <x:c r="C5" s="80" t="str">
        <x:v>Purpose</x:v>
      </x:c>
      <x:c r="D5" s="2"/>
      <x:c r="E5" s="6" t="str">
        <x:v>Evaluate one rental or small investment property and its optional LP/GP structure. Enter acquisition, debt, income, annual costs, growth, hold and exit assumptions. Dollar amounts are USD.</x:v>
      </x:c>
      <x:c r="F5" s="6"/>
      <x:c r="G5" s="6"/>
      <x:c r="H5" s="6"/>
      <x:c r="I5" s="6"/>
      <x:c r="J5" s="6"/>
      <x:c r="K5" s="6"/>
    </x:row>
    <x:row r="6" ht="30" customHeight="1">
      <x:c r="C6" s="2"/>
      <x:c r="D6" s="2"/>
      <x:c r="E6" s="6"/>
      <x:c r="F6" s="6"/>
      <x:c r="G6" s="6"/>
      <x:c r="H6" s="6"/>
      <x:c r="I6" s="6"/>
      <x:c r="J6" s="6"/>
      <x:c r="K6" s="6"/>
    </x:row>
    <x:row r="7" ht="23" customHeight="1">
      <x:c r="C7" s="2"/>
      <x:c r="D7" s="2"/>
      <x:c r="E7" s="2"/>
      <x:c r="F7" s="2"/>
      <x:c r="G7" s="2"/>
      <x:c r="H7" s="2"/>
      <x:c r="I7" s="2"/>
      <x:c r="J7" s="2"/>
      <x:c r="K7" s="2"/>
    </x:row>
    <x:row r="8" ht="36" customHeight="1">
      <x:c r="C8" s="80" t="str">
        <x:v>Use in three steps</x:v>
      </x:c>
      <x:c r="D8" s="2"/>
      <x:c r="E8" s="6" t="inlineStr">
        <x:is>
          <x:t>1. Edit amber cells in Inputs column E and press Enter. 2. Review Dashboard, annual cash flow, loan balances and exit assumptions. 3. For LP/GP results, set Inputs E56 to On; Off intentionally shows n.a. Test lower rent, higher costs and a lower sale value.</x:t>
        </x:is>
      </x:c>
      <x:c r="F8" s="6"/>
      <x:c r="G8" s="6"/>
      <x:c r="H8" s="6"/>
      <x:c r="I8" s="6"/>
      <x:c r="J8" s="6"/>
      <x:c r="K8" s="6"/>
    </x:row>
    <x:row r="9" ht="36" customHeight="1">
      <x:c r="C9" s="2"/>
      <x:c r="D9" s="2"/>
      <x:c r="E9" s="6"/>
      <x:c r="F9" s="6"/>
      <x:c r="G9" s="6"/>
      <x:c r="H9" s="6"/>
      <x:c r="I9" s="6"/>
      <x:c r="J9" s="6"/>
      <x:c r="K9" s="6"/>
    </x:row>
    <x:row r="10" ht="23" customHeight="1">
      <x:c r="C10" s="2"/>
      <x:c r="D10" s="2"/>
      <x:c r="E10" s="2"/>
      <x:c r="F10" s="2"/>
      <x:c r="G10" s="2"/>
      <x:c r="H10" s="2"/>
      <x:c r="I10" s="2"/>
      <x:c r="J10" s="2"/>
      <x:c r="K10" s="2"/>
    </x:row>
    <x:row r="11" ht="30" customHeight="1">
      <x:c r="C11" s="80" t="str">
        <x:v>NOI and cash flow</x:v>
      </x:c>
      <x:c r="D11" s="2"/>
      <x:c r="E11" s="6" t="str">
        <x:v>NOI is effective property income less property operating expenses. Cash flow also deducts scheduled P&amp;I, replacement capital, sponsor annual fees and loan insurance. A maturity balloon is an additional cash outflow. Property taxes are operating costs. Income taxes are not modeled.</x:v>
      </x:c>
      <x:c r="F11" s="6"/>
      <x:c r="G11" s="6"/>
      <x:c r="H11" s="6"/>
      <x:c r="I11" s="6"/>
      <x:c r="J11" s="6"/>
      <x:c r="K11" s="6"/>
    </x:row>
    <x:row r="12" ht="30" customHeight="1">
      <x:c r="C12" s="2"/>
      <x:c r="D12" s="2"/>
      <x:c r="E12" s="6"/>
      <x:c r="F12" s="6"/>
      <x:c r="G12" s="6"/>
      <x:c r="H12" s="6"/>
      <x:c r="I12" s="6"/>
      <x:c r="J12" s="6"/>
      <x:c r="K12" s="6"/>
    </x:row>
    <x:row r="13" ht="23" customHeight="1">
      <x:c r="C13" s="2"/>
      <x:c r="D13" s="2"/>
      <x:c r="E13" s="2"/>
      <x:c r="F13" s="2"/>
      <x:c r="G13" s="2"/>
      <x:c r="H13" s="2"/>
      <x:c r="I13" s="2"/>
      <x:c r="J13" s="2"/>
      <x:c r="K13" s="2"/>
    </x:row>
    <x:row r="14" ht="30" customHeight="1">
      <x:c r="C14" s="80" t="str">
        <x:v>Cap rate and cash-on-cash</x:v>
      </x:c>
      <x:c r="D14" s="2"/>
      <x:c r="E14" s="6" t="str">
        <x:v>Cap rate = year 1 NOI / purchase price. Cash-on-cash = year 1 cash flow before a maturity balloon / initial cash required. Both are estimates before income tax. Additional future capital calls enter the full-period return calculation.</x:v>
      </x:c>
      <x:c r="F14" s="6"/>
      <x:c r="G14" s="6"/>
      <x:c r="H14" s="6"/>
      <x:c r="I14" s="6"/>
      <x:c r="J14" s="6"/>
      <x:c r="K14" s="6"/>
    </x:row>
    <x:row r="15" ht="30" customHeight="1">
      <x:c r="C15" s="2"/>
      <x:c r="D15" s="2"/>
      <x:c r="E15" s="6"/>
      <x:c r="F15" s="6"/>
      <x:c r="G15" s="6"/>
      <x:c r="H15" s="6"/>
      <x:c r="I15" s="6"/>
      <x:c r="J15" s="6"/>
      <x:c r="K15" s="6"/>
    </x:row>
    <x:row r="16" ht="23" customHeight="1">
      <x:c r="C16" s="2"/>
      <x:c r="D16" s="2"/>
      <x:c r="E16" s="2"/>
      <x:c r="F16" s="2"/>
      <x:c r="G16" s="2"/>
      <x:c r="H16" s="2"/>
      <x:c r="I16" s="2"/>
      <x:c r="J16" s="2"/>
      <x:c r="K16" s="2"/>
    </x:row>
    <x:row r="17" ht="30" customHeight="1">
      <x:c r="C17" s="80" t="str">
        <x:v>DSCR and break-even occupancy</x:v>
      </x:c>
      <x:c r="D17" s="2"/>
      <x:c r="E17" s="6" t="str">
        <x:v>NOI DSCR = NOI / scheduled principal and interest. Cash coverage also deducts capital allowance and below-NOI fees. Break-even occupancy solves for cash flow of zero before any balloon. A result above 100% cannot be achieved by occupancy alone. Lenders may use different underwriting definitions.</x:v>
      </x:c>
      <x:c r="F17" s="6"/>
      <x:c r="G17" s="6"/>
      <x:c r="H17" s="6"/>
      <x:c r="I17" s="6"/>
      <x:c r="J17" s="6"/>
      <x:c r="K17" s="6"/>
    </x:row>
    <x:row r="18" ht="30" customHeight="1">
      <x:c r="C18" s="2"/>
      <x:c r="D18" s="2"/>
      <x:c r="E18" s="6"/>
      <x:c r="F18" s="6"/>
      <x:c r="G18" s="6"/>
      <x:c r="H18" s="6"/>
      <x:c r="I18" s="6"/>
      <x:c r="J18" s="6"/>
      <x:c r="K18" s="6"/>
    </x:row>
    <x:row r="19" ht="23" customHeight="1">
      <x:c r="C19" s="2"/>
      <x:c r="D19" s="2"/>
      <x:c r="E19" s="2"/>
      <x:c r="F19" s="2"/>
      <x:c r="G19" s="2"/>
      <x:c r="H19" s="2"/>
      <x:c r="I19" s="2"/>
      <x:c r="J19" s="2"/>
      <x:c r="K19" s="2"/>
    </x:row>
    <x:row r="20" ht="30" customHeight="1">
      <x:c r="C20" s="80" t="str">
        <x:v>Value and equity</x:v>
      </x:c>
      <x:c r="D20" s="2"/>
      <x:c r="E20" s="6" t="str">
        <x:v>Annual value grows from the initial estimate. Blank initial value uses purchase price. A sale-price override replaces only the final year’s value. Equity = estimated value less the loan balance before sale costs. Paper equity growth is not the same as cash profit.</x:v>
      </x:c>
      <x:c r="F20" s="6"/>
      <x:c r="G20" s="6"/>
      <x:c r="H20" s="6"/>
      <x:c r="I20" s="6"/>
      <x:c r="J20" s="6"/>
      <x:c r="K20" s="6"/>
    </x:row>
    <x:row r="21" ht="30" customHeight="1">
      <x:c r="C21" s="2"/>
      <x:c r="D21" s="2"/>
      <x:c r="E21" s="6"/>
      <x:c r="F21" s="6"/>
      <x:c r="G21" s="6"/>
      <x:c r="H21" s="6"/>
      <x:c r="I21" s="6"/>
      <x:c r="J21" s="6"/>
      <x:c r="K21" s="6"/>
    </x:row>
    <x:row r="22" ht="23" customHeight="1">
      <x:c r="C22" s="2"/>
      <x:c r="D22" s="2"/>
      <x:c r="E22" s="2"/>
      <x:c r="F22" s="2"/>
      <x:c r="G22" s="2"/>
      <x:c r="H22" s="2"/>
      <x:c r="I22" s="2"/>
      <x:c r="J22" s="2"/>
      <x:c r="K22" s="2"/>
    </x:row>
    <x:row r="23" ht="30" customHeight="1">
      <x:c r="C23" s="80" t="str">
        <x:v>Debt timing</x:v>
      </x:c>
      <x:c r="D23" s="2"/>
      <x:c r="E23" s="6" t="str">
        <x:v>One fixed-rate, monthly amortizing loan is assumed. Maturity and amortization are whole years. If maturity is before sale, the remaining balance is paid with cash at maturity and debt ends. If sale is at maturity, the remaining balance is deducted at sale once. No automatic refinancing is assumed.</x:v>
      </x:c>
      <x:c r="F23" s="6"/>
      <x:c r="G23" s="6"/>
      <x:c r="H23" s="6"/>
      <x:c r="I23" s="6"/>
      <x:c r="J23" s="6"/>
      <x:c r="K23" s="6"/>
    </x:row>
    <x:row r="24" ht="30" customHeight="1">
      <x:c r="C24" s="2"/>
      <x:c r="D24" s="2"/>
      <x:c r="E24" s="6"/>
      <x:c r="F24" s="6"/>
      <x:c r="G24" s="6"/>
      <x:c r="H24" s="6"/>
      <x:c r="I24" s="6"/>
      <x:c r="J24" s="6"/>
      <x:c r="K24" s="6"/>
    </x:row>
    <x:row r="25" ht="23" customHeight="1">
      <x:c r="C25" s="2"/>
      <x:c r="D25" s="2"/>
      <x:c r="E25" s="2"/>
      <x:c r="F25" s="2"/>
      <x:c r="G25" s="2"/>
      <x:c r="H25" s="2"/>
      <x:c r="I25" s="2"/>
      <x:c r="J25" s="2"/>
      <x:c r="K25" s="2"/>
    </x:row>
    <x:row r="26" ht="30" customHeight="1">
      <x:c r="C26" s="80" t="str">
        <x:v>Expenses and reserves</x:v>
      </x:c>
      <x:c r="D26" s="2"/>
      <x:c r="E26" s="6" t="str">
        <x:v>Annual taxes, insurance, dues and fixed expenses are included every year even if billed annually. Vacancy applies to rent and other income. Management uses effective income. The capital allowance is treated as spent each year, not a cash reserve that is returned at exit. Tenant deposits and working-capital cash are excluded.</x:v>
      </x:c>
      <x:c r="F26" s="6"/>
      <x:c r="G26" s="6"/>
      <x:c r="H26" s="6"/>
      <x:c r="I26" s="6"/>
      <x:c r="J26" s="6"/>
      <x:c r="K26" s="6"/>
    </x:row>
    <x:row r="27" ht="30" customHeight="1">
      <x:c r="C27" s="2"/>
      <x:c r="D27" s="2"/>
      <x:c r="E27" s="6"/>
      <x:c r="F27" s="6"/>
      <x:c r="G27" s="6"/>
      <x:c r="H27" s="6"/>
      <x:c r="I27" s="6"/>
      <x:c r="J27" s="6"/>
      <x:c r="K27" s="6"/>
    </x:row>
    <x:row r="28" ht="23" customHeight="1">
      <x:c r="C28" s="2"/>
      <x:c r="D28" s="2"/>
      <x:c r="E28" s="2"/>
      <x:c r="F28" s="2"/>
      <x:c r="G28" s="2"/>
      <x:c r="H28" s="2"/>
      <x:c r="I28" s="2"/>
      <x:c r="J28" s="2"/>
      <x:c r="K28" s="2"/>
    </x:row>
    <x:row r="29" ht="30" customHeight="1">
      <x:c r="C29" s="80" t="str">
        <x:v>Preferred return</x:v>
      </x:c>
      <x:c r="D29" s="2"/>
      <x:c r="E29" s="6" t="str">
        <x:v>A preferred return is a distribution priority, not guaranteed income or debt. Here it accrues simply on beginning-year unrecovered LP capital, including earlier calls. Unpaid preference carries without compounding. Operating cash pays preference before the residual split.</x:v>
      </x:c>
      <x:c r="F29" s="6"/>
      <x:c r="G29" s="6"/>
      <x:c r="H29" s="6"/>
      <x:c r="I29" s="6"/>
      <x:c r="J29" s="6"/>
      <x:c r="K29" s="6"/>
    </x:row>
    <x:row r="30" ht="30" customHeight="1">
      <x:c r="C30" s="2"/>
      <x:c r="D30" s="2"/>
      <x:c r="E30" s="6"/>
      <x:c r="F30" s="6"/>
      <x:c r="G30" s="6"/>
      <x:c r="H30" s="6"/>
      <x:c r="I30" s="6"/>
      <x:c r="J30" s="6"/>
      <x:c r="K30" s="6"/>
    </x:row>
    <x:row r="31" ht="23" customHeight="1">
      <x:c r="C31" s="2"/>
      <x:c r="D31" s="2"/>
      <x:c r="E31" s="2"/>
      <x:c r="F31" s="2"/>
      <x:c r="G31" s="2"/>
      <x:c r="H31" s="2"/>
      <x:c r="I31" s="2"/>
      <x:c r="J31" s="2"/>
      <x:c r="K31" s="2"/>
    </x:row>
    <x:row r="32" ht="30" customHeight="1">
      <x:c r="C32" s="80" t="str">
        <x:v>Simplified waterfall</x:v>
      </x:c>
      <x:c r="D32" s="2"/>
      <x:c r="E32" s="6" t="str">
        <x:v>At exit, available sale cash pays remaining LP preference, returns LP/GP capital pro rata, then splits residual profit. LP residual share = LP ownership × (1 − GP promote). GP receives the remainder. LP/GP ownership also controls funding of all capital calls. Actual legal agreements may differ.</x:v>
      </x:c>
      <x:c r="F32" s="6"/>
      <x:c r="G32" s="6"/>
      <x:c r="H32" s="6"/>
      <x:c r="I32" s="6"/>
      <x:c r="J32" s="6"/>
      <x:c r="K32" s="6"/>
    </x:row>
    <x:row r="33" ht="30" customHeight="1">
      <x:c r="C33" s="2"/>
      <x:c r="D33" s="2"/>
      <x:c r="E33" s="6"/>
      <x:c r="F33" s="6"/>
      <x:c r="G33" s="6"/>
      <x:c r="H33" s="6"/>
      <x:c r="I33" s="6"/>
      <x:c r="J33" s="6"/>
      <x:c r="K33" s="6"/>
    </x:row>
    <x:row r="34" ht="23" customHeight="1">
      <x:c r="C34" s="2"/>
      <x:c r="D34" s="2"/>
      <x:c r="E34" s="2"/>
      <x:c r="F34" s="2"/>
      <x:c r="G34" s="2"/>
      <x:c r="H34" s="2"/>
      <x:c r="I34" s="2"/>
      <x:c r="J34" s="2"/>
      <x:c r="K34" s="2"/>
    </x:row>
    <x:row r="35" ht="30" customHeight="1">
      <x:c r="C35" s="80" t="str">
        <x:v>Return calculations</x:v>
      </x:c>
      <x:c r="D35" s="2"/>
      <x:c r="E35" s="6" t="str">
        <x:v>Total return = profit / all contributed capital. The distribution multiple = total cash out / all capital in. Annual IRR uses time-zero investment and net year-end cash flows. It is shown only for exactly one cash-flow sign change and successful convergence. n.a. is not a zero return.</x:v>
      </x:c>
      <x:c r="F35" s="6"/>
      <x:c r="G35" s="6"/>
      <x:c r="H35" s="6"/>
      <x:c r="I35" s="6"/>
      <x:c r="J35" s="6"/>
      <x:c r="K35" s="6"/>
    </x:row>
    <x:row r="36" ht="30" customHeight="1">
      <x:c r="C36" s="2"/>
      <x:c r="D36" s="2"/>
      <x:c r="E36" s="6"/>
      <x:c r="F36" s="6"/>
      <x:c r="G36" s="6"/>
      <x:c r="H36" s="6"/>
      <x:c r="I36" s="6"/>
      <x:c r="J36" s="6"/>
      <x:c r="K36" s="6"/>
    </x:row>
    <x:row r="37" ht="23" customHeight="1">
      <x:c r="C37" s="2"/>
      <x:c r="D37" s="2"/>
      <x:c r="E37" s="2"/>
      <x:c r="F37" s="2"/>
      <x:c r="G37" s="2"/>
      <x:c r="H37" s="2"/>
      <x:c r="I37" s="2"/>
      <x:c r="J37" s="2"/>
      <x:c r="K37" s="2"/>
    </x:row>
    <x:row r="38" ht="30" customHeight="1">
      <x:c r="C38" s="80" t="str">
        <x:v>Investor versus property</x:v>
      </x:c>
      <x:c r="D38" s="2"/>
      <x:c r="E38" s="6" t="str">
        <x:v>Property results show the total project before LP/GP splits and after selected sponsor fees. LP results allocate that cash using the waterfall. Sponsor fees are separate gross GP receipts, before sponsor costs and tax. Individual LP results scale one pool on identical terms.</x:v>
      </x:c>
      <x:c r="F38" s="6"/>
      <x:c r="G38" s="6"/>
      <x:c r="H38" s="6"/>
      <x:c r="I38" s="6"/>
      <x:c r="J38" s="6"/>
      <x:c r="K38" s="6"/>
    </x:row>
    <x:row r="39" ht="30" customHeight="1">
      <x:c r="C39" s="2"/>
      <x:c r="D39" s="2"/>
      <x:c r="E39" s="6"/>
      <x:c r="F39" s="6"/>
      <x:c r="G39" s="6"/>
      <x:c r="H39" s="6"/>
      <x:c r="I39" s="6"/>
      <x:c r="J39" s="6"/>
      <x:c r="K39" s="6"/>
    </x:row>
    <x:row r="40" ht="23" customHeight="1">
      <x:c r="C40" s="2"/>
      <x:c r="D40" s="2"/>
      <x:c r="E40" s="2"/>
      <x:c r="F40" s="2"/>
      <x:c r="G40" s="2"/>
      <x:c r="H40" s="2"/>
      <x:c r="I40" s="2"/>
      <x:c r="J40" s="2"/>
      <x:c r="K40" s="2"/>
    </x:row>
    <x:row r="41" ht="30" customHeight="1">
      <x:c r="C41" s="80" t="str">
        <x:v>Important simplifications</x:v>
      </x:c>
      <x:c r="D41" s="2"/>
      <x:c r="E41" s="6" t="str">
        <x:v>No income tax, depreciation, capital-gains tax, selling-year proration, construction downtime, variable interest, refinancing, irregular distribution dates, multi-property portfolio, catch-up tiers or changing ownership is modeled. All positive cash is distributed and negative cash is funded at year-end. Appreciation and growth rates are constant.</x:v>
      </x:c>
      <x:c r="F41" s="6"/>
      <x:c r="G41" s="6"/>
      <x:c r="H41" s="6"/>
      <x:c r="I41" s="6"/>
      <x:c r="J41" s="6"/>
      <x:c r="K41" s="6"/>
    </x:row>
    <x:row r="42" ht="30" customHeight="1">
      <x:c r="C42" s="2"/>
      <x:c r="D42" s="2"/>
      <x:c r="E42" s="6"/>
      <x:c r="F42" s="6"/>
      <x:c r="G42" s="6"/>
      <x:c r="H42" s="6"/>
      <x:c r="I42" s="6"/>
      <x:c r="J42" s="6"/>
      <x:c r="K42" s="6"/>
    </x:row>
    <x:row r="43" ht="23" customHeight="1">
      <x:c r="C43" s="2"/>
      <x:c r="D43" s="2"/>
      <x:c r="E43" s="2"/>
      <x:c r="F43" s="2"/>
      <x:c r="G43" s="2"/>
      <x:c r="H43" s="2"/>
      <x:c r="I43" s="2"/>
      <x:c r="J43" s="2"/>
      <x:c r="K43" s="2"/>
    </x:row>
    <x:row r="44" ht="30" customHeight="1">
      <x:c r="C44" s="80" t="str">
        <x:v>Why estimates can fail</x:v>
      </x:c>
      <x:c r="D44" s="2"/>
      <x:c r="E44" s="6" t="str">
        <x:v>Actual rent, occupancy, repair costs, insurance, interest rates and sale prices can differ sharply from assumptions. An initial valuation above the purchase price can materially increase projected returns. Verify local data, property condition, loan terms and sufficient liquidity. Projected returns are not guarantees.</x:v>
      </x:c>
      <x:c r="F44" s="6"/>
      <x:c r="G44" s="6"/>
      <x:c r="H44" s="6"/>
      <x:c r="I44" s="6"/>
      <x:c r="J44" s="6"/>
      <x:c r="K44" s="6"/>
    </x:row>
    <x:row r="45" ht="30" customHeight="1">
      <x:c r="C45" s="2"/>
      <x:c r="D45" s="2"/>
      <x:c r="E45" s="6"/>
      <x:c r="F45" s="6"/>
      <x:c r="G45" s="6"/>
      <x:c r="H45" s="6"/>
      <x:c r="I45" s="6"/>
      <x:c r="J45" s="6"/>
      <x:c r="K45" s="6"/>
    </x:row>
    <x:row r="46" ht="23" customHeight="1">
      <x:c r="C46" s="2"/>
      <x:c r="D46" s="2"/>
      <x:c r="E46" s="2"/>
      <x:c r="F46" s="2"/>
      <x:c r="G46" s="2"/>
      <x:c r="H46" s="2"/>
      <x:c r="I46" s="2"/>
      <x:c r="J46" s="2"/>
      <x:c r="K46" s="2"/>
    </x:row>
    <x:row r="47" ht="23" customHeight="1">
      <x:c r="C47" s="2"/>
      <x:c r="D47" s="2"/>
      <x:c r="E47" s="2"/>
      <x:c r="F47" s="2"/>
      <x:c r="G47" s="2"/>
      <x:c r="H47" s="2"/>
      <x:c r="I47" s="2"/>
      <x:c r="J47" s="2"/>
      <x:c r="K47" s="2"/>
    </x:row>
    <x:row r="48" ht="24" customHeight="1">
      <x:c r="C48" s="8" t="str">
        <x:v>Original workbook audit &amp; changes</x:v>
      </x:c>
      <x:c r="D48" s="8"/>
      <x:c r="E48" s="8"/>
      <x:c r="F48" s="8"/>
      <x:c r="G48" s="8"/>
      <x:c r="H48" s="8"/>
      <x:c r="I48" s="8"/>
      <x:c r="J48" s="8"/>
      <x:c r="K48" s="8"/>
    </x:row>
    <x:row r="49" ht="31" customHeight="1">
      <x:c r="C49" s="80" t="str">
        <x:v>Disconnected assumptions</x:v>
      </x:c>
      <x:c r="D49" s="2"/>
      <x:c r="E49" s="6" t="str">
        <x:v>Inputs B2 used $270,000; Property Summary B2 used $219,900. Hold, fees and growth were repeated. Centralized all editable values on Inputs and linked builds to them. The loaded purchase price retains Property Summary B2.</x:v>
      </x:c>
      <x:c r="F49" s="6"/>
      <x:c r="G49" s="6"/>
      <x:c r="H49" s="6"/>
      <x:c r="I49" s="6"/>
      <x:c r="J49" s="6"/>
      <x:c r="K49" s="6"/>
    </x:row>
    <x:row r="50" ht="31" customHeight="1">
      <x:c r="C50" s="2"/>
      <x:c r="D50" s="2"/>
      <x:c r="E50" s="6"/>
      <x:c r="F50" s="6"/>
      <x:c r="G50" s="6"/>
      <x:c r="H50" s="6"/>
      <x:c r="I50" s="6"/>
      <x:c r="J50" s="6"/>
      <x:c r="K50" s="6"/>
    </x:row>
    <x:row r="51" ht="23" customHeight="1">
      <x:c r="C51" s="2"/>
      <x:c r="D51" s="2"/>
      <x:c r="E51" s="2"/>
      <x:c r="F51" s="2"/>
      <x:c r="G51" s="2"/>
      <x:c r="H51" s="2"/>
      <x:c r="I51" s="2"/>
      <x:c r="J51" s="2"/>
      <x:c r="K51" s="2"/>
    </x:row>
    <x:row r="52" ht="31" customHeight="1">
      <x:c r="C52" s="80" t="str">
        <x:v>Operating costs understated</x:v>
      </x:c>
      <x:c r="D52" s="2"/>
      <x:c r="E52" s="6" t="str">
        <x:v>Property Summary B17:B19 were zero despite annual notes totaling $5,284.72 for taxes, insurance and HOA. Added those costs to NOI and cash flow, plus explicit vacancy, maintenance, repairs and replacement capital.</x:v>
      </x:c>
      <x:c r="F52" s="6"/>
      <x:c r="G52" s="6"/>
      <x:c r="H52" s="6"/>
      <x:c r="I52" s="6"/>
      <x:c r="J52" s="6"/>
      <x:c r="K52" s="6"/>
    </x:row>
    <x:row r="53" ht="31" customHeight="1">
      <x:c r="C53" s="2"/>
      <x:c r="D53" s="2"/>
      <x:c r="E53" s="6"/>
      <x:c r="F53" s="6"/>
      <x:c r="G53" s="6"/>
      <x:c r="H53" s="6"/>
      <x:c r="I53" s="6"/>
      <x:c r="J53" s="6"/>
      <x:c r="K53" s="6"/>
    </x:row>
    <x:row r="54" ht="23" customHeight="1">
      <x:c r="C54" s="2"/>
      <x:c r="D54" s="2"/>
      <x:c r="E54" s="2"/>
      <x:c r="F54" s="2"/>
      <x:c r="G54" s="2"/>
      <x:c r="H54" s="2"/>
      <x:c r="I54" s="2"/>
      <x:c r="J54" s="2"/>
      <x:c r="K54" s="2"/>
    </x:row>
    <x:row r="55" ht="31" customHeight="1">
      <x:c r="C55" s="80" t="str">
        <x:v>Mortgage incompatibility</x:v>
      </x:c>
      <x:c r="D55" s="2"/>
      <x:c r="E55" s="6" t="str">
        <x:v>Property Summary B20/B22 used __xludf.DUMMYFUNCTION with fixed fallbacks. Replaced with Excel PMT/FV logic, a loan roll-forward and a separate maturity balloon. Original B22 was lifetime P&amp;I, not annual debt service.</x:v>
      </x:c>
      <x:c r="F55" s="6"/>
      <x:c r="G55" s="6"/>
      <x:c r="H55" s="6"/>
      <x:c r="I55" s="6"/>
      <x:c r="J55" s="6"/>
      <x:c r="K55" s="6"/>
    </x:row>
    <x:row r="56" ht="31" customHeight="1">
      <x:c r="C56" s="2"/>
      <x:c r="D56" s="2"/>
      <x:c r="E56" s="6"/>
      <x:c r="F56" s="6"/>
      <x:c r="G56" s="6"/>
      <x:c r="H56" s="6"/>
      <x:c r="I56" s="6"/>
      <x:c r="J56" s="6"/>
      <x:c r="K56" s="6"/>
    </x:row>
    <x:row r="57" ht="23" customHeight="1">
      <x:c r="C57" s="2"/>
      <x:c r="D57" s="2"/>
      <x:c r="E57" s="2"/>
      <x:c r="F57" s="2"/>
      <x:c r="G57" s="2"/>
      <x:c r="H57" s="2"/>
      <x:c r="I57" s="2"/>
      <x:c r="J57" s="2"/>
      <x:c r="K57" s="2"/>
    </x:row>
    <x:row r="58" ht="31" customHeight="1">
      <x:c r="C58" s="80" t="str">
        <x:v>Hardcoded cash flow and DSCR</x:v>
      </x:c>
      <x:c r="D58" s="2"/>
      <x:c r="E58" s="6" t="str">
        <x:v>Property Summary B26:B32 were typed values. B23 depended on an incompatible payment and omitted ownership costs. New cash flow links all modeled costs; NOI DSCR and cash coverage state their distinct denominators.</x:v>
      </x:c>
      <x:c r="F58" s="6"/>
      <x:c r="G58" s="6"/>
      <x:c r="H58" s="6"/>
      <x:c r="I58" s="6"/>
      <x:c r="J58" s="6"/>
      <x:c r="K58" s="6"/>
    </x:row>
    <x:row r="59" ht="31" customHeight="1">
      <x:c r="C59" s="2"/>
      <x:c r="D59" s="2"/>
      <x:c r="E59" s="6"/>
      <x:c r="F59" s="6"/>
      <x:c r="G59" s="6"/>
      <x:c r="H59" s="6"/>
      <x:c r="I59" s="6"/>
      <x:c r="J59" s="6"/>
      <x:c r="K59" s="6"/>
    </x:row>
    <x:row r="60" ht="23" customHeight="1">
      <x:c r="C60" s="2"/>
      <x:c r="D60" s="2"/>
      <x:c r="E60" s="2"/>
      <x:c r="F60" s="2"/>
      <x:c r="G60" s="2"/>
      <x:c r="H60" s="2"/>
      <x:c r="I60" s="2"/>
      <x:c r="J60" s="2"/>
      <x:c r="K60" s="2"/>
    </x:row>
    <x:row r="61" ht="31" customHeight="1">
      <x:c r="C61" s="80" t="str">
        <x:v>Conflicting LP participation</x:v>
      </x:c>
      <x:c r="D61" s="2"/>
      <x:c r="E61" s="6" t="str">
        <x:v>Inputs B7 showed 10%; investor equity formulas used 5%; investor preference hardcoded 8%. GP Summary contained only a label. New LP/GP funding and residual percentages reconcile, and all rates are editable inputs.</x:v>
      </x:c>
      <x:c r="F61" s="6"/>
      <x:c r="G61" s="6"/>
      <x:c r="H61" s="6"/>
      <x:c r="I61" s="6"/>
      <x:c r="J61" s="6"/>
      <x:c r="K61" s="6"/>
    </x:row>
    <x:row r="62" ht="31" customHeight="1">
      <x:c r="C62" s="2"/>
      <x:c r="D62" s="2"/>
      <x:c r="E62" s="6"/>
      <x:c r="F62" s="6"/>
      <x:c r="G62" s="6"/>
      <x:c r="H62" s="6"/>
      <x:c r="I62" s="6"/>
      <x:c r="J62" s="6"/>
      <x:c r="K62" s="6"/>
    </x:row>
    <x:row r="63" ht="23" customHeight="1">
      <x:c r="C63" s="2"/>
      <x:c r="D63" s="2"/>
      <x:c r="E63" s="2"/>
      <x:c r="F63" s="2"/>
      <x:c r="G63" s="2"/>
      <x:c r="H63" s="2"/>
      <x:c r="I63" s="2"/>
      <x:c r="J63" s="2"/>
      <x:c r="K63" s="2"/>
    </x:row>
    <x:row r="64" ht="31" customHeight="1">
      <x:c r="C64" s="80" t="str">
        <x:v>Unfunded investor payouts</x:v>
      </x:c>
      <x:c r="D64" s="2"/>
      <x:c r="E64" s="6" t="str">
        <x:v>Investor Returns assumed preferred income and full principal repayment and shared a $50,100 valuation gap. It omitted operational funding, sales costs and loan payoff. New distributions are limited to cash, with calls, unpaid preference and unrecovered capital shown.</x:v>
      </x:c>
      <x:c r="F64" s="6"/>
      <x:c r="G64" s="6"/>
      <x:c r="H64" s="6"/>
      <x:c r="I64" s="6"/>
      <x:c r="J64" s="6"/>
      <x:c r="K64" s="6"/>
    </x:row>
    <x:row r="65" ht="31" customHeight="1">
      <x:c r="C65" s="2"/>
      <x:c r="D65" s="2"/>
      <x:c r="E65" s="6"/>
      <x:c r="F65" s="6"/>
      <x:c r="G65" s="6"/>
      <x:c r="H65" s="6"/>
      <x:c r="I65" s="6"/>
      <x:c r="J65" s="6"/>
      <x:c r="K65" s="6"/>
    </x:row>
    <x:row r="66" ht="23" customHeight="1">
      <x:c r="C66" s="2"/>
      <x:c r="D66" s="2"/>
      <x:c r="E66" s="2"/>
      <x:c r="F66" s="2"/>
      <x:c r="G66" s="2"/>
      <x:c r="H66" s="2"/>
      <x:c r="I66" s="2"/>
      <x:c r="J66" s="2"/>
      <x:c r="K66" s="2"/>
    </x:row>
    <x:row r="67" ht="31" customHeight="1">
      <x:c r="C67" s="80" t="str">
        <x:v>Appreciation / valuation ambiguity</x:v>
      </x:c>
      <x:c r="D67" s="2"/>
      <x:c r="E67" s="6" t="str">
        <x:v>Property Summary B5 contained an unused 3, while Inputs B4 held 5%. Current value was $270,000 without a valuation date; C3 held an unlabeled $193,652.37. The new example uses purchase price at time zero and an explicit illustrative 3% appreciation rate. Unlabeled data was not used.</x:v>
      </x:c>
      <x:c r="F67" s="6"/>
      <x:c r="G67" s="6"/>
      <x:c r="H67" s="6"/>
      <x:c r="I67" s="6"/>
      <x:c r="J67" s="6"/>
      <x:c r="K67" s="6"/>
    </x:row>
    <x:row r="68" ht="31" customHeight="1">
      <x:c r="C68" s="2"/>
      <x:c r="D68" s="2"/>
      <x:c r="E68" s="6"/>
      <x:c r="F68" s="6"/>
      <x:c r="G68" s="6"/>
      <x:c r="H68" s="6"/>
      <x:c r="I68" s="6"/>
      <x:c r="J68" s="6"/>
      <x:c r="K68" s="6"/>
    </x:row>
    <x:row r="69" ht="23" customHeight="1">
      <x:c r="C69" s="2"/>
      <x:c r="D69" s="2"/>
      <x:c r="E69" s="2"/>
      <x:c r="F69" s="2"/>
      <x:c r="G69" s="2"/>
      <x:c r="H69" s="2"/>
      <x:c r="I69" s="2"/>
      <x:c r="J69" s="2"/>
      <x:c r="K69" s="2"/>
    </x:row>
    <x:row r="70" ht="31" customHeight="1">
      <x:c r="C70" s="80" t="str">
        <x:v>Preserved and added assumptions</x:v>
      </x:c>
      <x:c r="D70" s="2"/>
      <x:c r="E70" s="6" t="str">
        <x:v>Preserved purchase price $219,900, rent $2,050, 5% down, 3.25% historical rate, 30-year amortization, 7% management and annual cost notes. Added clearly labeled illustrative closing/loan fees, 5% vacancy, cost allowances, 3% growth, 6% sale costs and a five-year hold.</x:v>
      </x:c>
      <x:c r="F70" s="6"/>
      <x:c r="G70" s="6"/>
      <x:c r="H70" s="6"/>
      <x:c r="I70" s="6"/>
      <x:c r="J70" s="6"/>
      <x:c r="K70" s="6"/>
    </x:row>
    <x:row r="71" ht="31" customHeight="1">
      <x:c r="C71" s="2"/>
      <x:c r="D71" s="2"/>
      <x:c r="E71" s="6"/>
      <x:c r="F71" s="6"/>
      <x:c r="G71" s="6"/>
      <x:c r="H71" s="6"/>
      <x:c r="I71" s="6"/>
      <x:c r="J71" s="6"/>
      <x:c r="K71" s="6"/>
    </x:row>
    <x:row r="72" ht="23" customHeight="1">
      <x:c r="C72" s="2"/>
      <x:c r="D72" s="2"/>
      <x:c r="E72" s="2"/>
      <x:c r="F72" s="2"/>
      <x:c r="G72" s="2"/>
      <x:c r="H72" s="2"/>
      <x:c r="I72" s="2"/>
      <x:c r="J72" s="2"/>
      <x:c r="K72" s="2"/>
    </x:row>
    <x:row r="73" ht="36" customHeight="1">
      <x:c r="C73" s="80" t="str">
        <x:v>Investor defaults are illustrative</x:v>
      </x:c>
      <x:c r="D73" s="2"/>
      <x:c r="E73" s="6" t="inlineStr">
        <x:is>
          <x:t>The optional model opens Off, so LP results display n.a. Set Inputs E56 to On to activate it. Default 80% LP funding and a 20% GP promote are editable examples. The 8% preference and $10,000 individual example retain source-workbook figures.</x:t>
        </x:is>
      </x:c>
      <x:c r="F73" s="6"/>
      <x:c r="G73" s="6"/>
      <x:c r="H73" s="6"/>
      <x:c r="I73" s="6"/>
      <x:c r="J73" s="6"/>
      <x:c r="K73" s="6"/>
    </x:row>
    <x:row r="74" ht="36" customHeight="1">
      <x:c r="C74" s="2"/>
      <x:c r="D74" s="2"/>
      <x:c r="E74" s="6"/>
      <x:c r="F74" s="6"/>
      <x:c r="G74" s="6"/>
      <x:c r="H74" s="6"/>
      <x:c r="I74" s="6"/>
      <x:c r="J74" s="6"/>
      <x:c r="K74" s="6"/>
    </x:row>
    <x:row r="75" ht="23" customHeight="1">
      <x:c r="C75" s="2"/>
      <x:c r="D75" s="2"/>
      <x:c r="E75" s="2"/>
      <x:c r="F75" s="2"/>
      <x:c r="G75" s="2"/>
      <x:c r="H75" s="2"/>
      <x:c r="I75" s="2"/>
      <x:c r="J75" s="2"/>
      <x:c r="K75" s="2"/>
    </x:row>
    <x:row r="76" ht="23" customHeight="1">
      <x:c r="C76" s="2"/>
      <x:c r="D76" s="2"/>
      <x:c r="E76" s="2"/>
      <x:c r="F76" s="2"/>
      <x:c r="G76" s="2"/>
      <x:c r="H76" s="2"/>
      <x:c r="I76" s="2"/>
      <x:c r="J76" s="2"/>
      <x:c r="K76" s="2"/>
    </x:row>
    <x:row r="77" ht="24" customHeight="1">
      <x:c r="C77" s="8" t="str">
        <x:v>Formula references</x:v>
      </x:c>
      <x:c r="D77" s="8"/>
      <x:c r="E77" s="8"/>
      <x:c r="F77" s="8"/>
      <x:c r="G77" s="8"/>
      <x:c r="H77" s="8"/>
      <x:c r="I77" s="8"/>
      <x:c r="J77" s="8"/>
      <x:c r="K77" s="8"/>
    </x:row>
    <x:row r="78" ht="28" customHeight="1">
      <x:c r="C78" s="6" t="str">
        <x:v>Microsoft Excel PMT / FV / IRR documentation supports payment, balance and periodic cash-flow methods. Fannie Mae’s underwriting guide illustrates that lender DSCR can use adjusted net cash flow rather than unadjusted NOI.</x:v>
      </x:c>
      <x:c r="D78" s="6"/>
      <x:c r="E78" s="6"/>
      <x:c r="F78" s="6"/>
      <x:c r="G78" s="6"/>
      <x:c r="H78" s="6"/>
      <x:c r="I78" s="6"/>
      <x:c r="J78" s="6"/>
      <x:c r="K78" s="6"/>
    </x:row>
    <x:row r="79" ht="28" customHeight="1">
      <x:c r="C79" s="6"/>
      <x:c r="D79" s="6"/>
      <x:c r="E79" s="6"/>
      <x:c r="F79" s="6"/>
      <x:c r="G79" s="6"/>
      <x:c r="H79" s="6"/>
      <x:c r="I79" s="6"/>
      <x:c r="J79" s="6"/>
      <x:c r="K79" s="6"/>
    </x:row>
    <x:row r="80" ht="23" customHeight="1">
      <x:c r="C80" s="6" t="str">
        <x:v>https://support.microsoft.com/en-US/Excel/pmt-function</x:v>
      </x:c>
      <x:c r="D80" s="6"/>
      <x:c r="E80" s="6"/>
      <x:c r="F80" s="6"/>
      <x:c r="G80" s="6"/>
      <x:c r="H80" s="6"/>
      <x:c r="I80" s="6"/>
      <x:c r="J80" s="6"/>
      <x:c r="K80" s="6"/>
    </x:row>
    <x:row r="81" ht="23" customHeight="1">
      <x:c r="C81" s="6" t="str">
        <x:v>https://support.microsoft.com/en-US/Excel/functions/fv-function</x:v>
      </x:c>
      <x:c r="D81" s="6"/>
      <x:c r="E81" s="6"/>
      <x:c r="F81" s="6"/>
      <x:c r="G81" s="6"/>
      <x:c r="H81" s="6"/>
      <x:c r="I81" s="6"/>
      <x:c r="J81" s="6"/>
      <x:c r="K81" s="6"/>
    </x:row>
    <x:row r="82" ht="23" customHeight="1">
      <x:c r="C82" s="6" t="str">
        <x:v>https://support.microsoft.com/en-us/Excel/functions/irr-function</x:v>
      </x:c>
      <x:c r="D82" s="6"/>
      <x:c r="E82" s="6"/>
      <x:c r="F82" s="6"/>
      <x:c r="G82" s="6"/>
      <x:c r="H82" s="6"/>
      <x:c r="I82" s="6"/>
      <x:c r="J82" s="6"/>
      <x:c r="K82" s="6"/>
    </x:row>
    <x:row r="83" ht="23" customHeight="1">
      <x:c r="C83" s="6" t="str">
        <x:v>https://mfguide.fanniemae.com/node/1541</x:v>
      </x:c>
      <x:c r="D83" s="6"/>
      <x:c r="E83" s="6"/>
      <x:c r="F83" s="6"/>
      <x:c r="G83" s="6"/>
      <x:c r="H83" s="6"/>
      <x:c r="I83" s="6"/>
      <x:c r="J83" s="6"/>
      <x:c r="K83" s="6"/>
    </x:row>
    <x:row r="84" ht="23" customHeight="1">
      <x:c r="C84" s="2"/>
      <x:c r="D84" s="2"/>
      <x:c r="E84" s="2"/>
      <x:c r="F84" s="2"/>
      <x:c r="G84" s="2"/>
      <x:c r="H84" s="2"/>
      <x:c r="I84" s="2"/>
      <x:c r="J84" s="2"/>
      <x:c r="K84" s="2"/>
    </x:row>
    <x:row r="85" ht="24" customHeight="1">
      <x:c r="C85" s="6" t="str">
        <x:v>Educational and informational use only. This workbook does not provide investment, tax, legal, accounting, lending or financial advice. Estimates may differ materially from actual results, and real-estate investments can lose principal. Independently verify assumptions and consult appropriate licensed professionals before making financial decisions.</x:v>
      </x:c>
      <x:c r="D85" s="6"/>
      <x:c r="E85" s="6"/>
      <x:c r="F85" s="6"/>
      <x:c r="G85" s="6"/>
      <x:c r="H85" s="6"/>
      <x:c r="I85" s="6"/>
      <x:c r="J85" s="6"/>
      <x:c r="K85" s="6"/>
    </x:row>
    <x:row r="86" ht="24" customHeight="1">
      <x:c r="C86" s="6"/>
      <x:c r="D86" s="6"/>
      <x:c r="E86" s="6"/>
      <x:c r="F86" s="6"/>
      <x:c r="G86" s="6"/>
      <x:c r="H86" s="6"/>
      <x:c r="I86" s="6"/>
      <x:c r="J86" s="6"/>
      <x:c r="K86" s="6"/>
    </x:row>
    <x:row r="87" ht="24" customHeight="1">
      <x:c r="C87" s="6"/>
      <x:c r="D87" s="6"/>
      <x:c r="E87" s="6"/>
      <x:c r="F87" s="6"/>
      <x:c r="G87" s="6"/>
      <x:c r="H87" s="6"/>
      <x:c r="I87" s="6"/>
      <x:c r="J87" s="6"/>
      <x:c r="K87" s="6"/>
    </x:row>
    <x:row r="89" ht="28" customHeight="1">
      <x:c r="C89" s="80" t="inlineStr">
        <x:is>
          <x:t>If results do not update</x:t>
        </x:is>
      </x:c>
      <x:c r="E89" s="6" t="inlineStr">
        <x:is>
          <x:t>In Excel, choose Formulas &gt; Calculation Options &gt; Automatic. Then press Ctrl+Alt+F9 once to recalculate all formulas. Excel desktop can inherit Manual mode from another open workbook; this file requests Automatic calculation and a full recalculation on opening.</x:t>
        </x:is>
      </x:c>
    </x:row>
    <x:row r="90" ht="28" customHeight="1"/>
    <x:row r="91" ht="28" customHeight="1"/>
    <x:row r="92" ht="28" customHeight="1">
      <x:c r="C92" s="80" t="inlineStr">
        <x:is>
          <x:t>Quick dynamic check</x:t>
        </x:is>
      </x:c>
      <x:c r="E92" s="6" t="inlineStr">
        <x:is>
          <x:t>With the loaded example and investor model Off, change Inputs E24 from $2,050 to $2,250. Dashboard E17 should rise from about $261.61 to $438.31 per month. Restore $2,050 afterward. Change inputs only; dashboard and model figures are formulas.</x:t>
        </x:is>
      </x:c>
    </x:row>
  </x:sheetData>
  <x:mergeCells count="32">
    <x:mergeCell ref="C2:K2"/>
    <x:mergeCell ref="E5:K6"/>
    <x:mergeCell ref="E8:K9"/>
    <x:mergeCell ref="E11:K12"/>
    <x:mergeCell ref="E14:K15"/>
    <x:mergeCell ref="E17:K18"/>
    <x:mergeCell ref="E20:K21"/>
    <x:mergeCell ref="E23:K24"/>
    <x:mergeCell ref="E26:K27"/>
    <x:mergeCell ref="E29:K30"/>
    <x:mergeCell ref="E32:K33"/>
    <x:mergeCell ref="E35:K36"/>
    <x:mergeCell ref="E38:K39"/>
    <x:mergeCell ref="E41:K42"/>
    <x:mergeCell ref="E44:K45"/>
    <x:mergeCell ref="E49:K50"/>
    <x:mergeCell ref="E52:K53"/>
    <x:mergeCell ref="E55:K56"/>
    <x:mergeCell ref="E58:K59"/>
    <x:mergeCell ref="E61:K62"/>
    <x:mergeCell ref="E64:K65"/>
    <x:mergeCell ref="E67:K68"/>
    <x:mergeCell ref="E70:K71"/>
    <x:mergeCell ref="E73:K74"/>
    <x:mergeCell ref="C78:K79"/>
    <x:mergeCell ref="C80:K80"/>
    <x:mergeCell ref="C81:K81"/>
    <x:mergeCell ref="C82:K82"/>
    <x:mergeCell ref="C83:K83"/>
    <x:mergeCell ref="C85:K87"/>
    <x:mergeCell ref="E89:K90"/>
    <x:mergeCell ref="E92:K93"/>
  </x:mergeCells>
  <x:pageMargins left="0.7" right="0.7" top="0.75" bottom="0.75" header="0.3" footer="0.3"/>
</x:worksheet>
</file>